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şla" sheetId="1" state="visible" r:id="rId1"/>
    <sheet xmlns:r="http://schemas.openxmlformats.org/officeDocument/2006/relationships" name="Ayarlar" sheetId="2" state="visible" r:id="rId2"/>
    <sheet xmlns:r="http://schemas.openxmlformats.org/officeDocument/2006/relationships" name="Rezervasyonlar" sheetId="3" state="visible" r:id="rId3"/>
    <sheet xmlns:r="http://schemas.openxmlformats.org/officeDocument/2006/relationships" name="Haftalık Çizelge" sheetId="4" state="visible" r:id="rId4"/>
    <sheet xmlns:r="http://schemas.openxmlformats.org/officeDocument/2006/relationships" name="Aylık Özet" sheetId="5" state="visible" r:id="rId5"/>
    <sheet xmlns:r="http://schemas.openxmlformats.org/officeDocument/2006/relationships" name="Abone Takımlar" sheetId="6" state="visible" r:id="rId6"/>
  </sheets>
  <definedNames>
    <definedName name="Tesis">Ayarlar!$B$3</definedName>
    <definedName name="UcretGunduz">Ayarlar!$B$4</definedName>
    <definedName name="UcretAksam">Ayarlar!$B$5</definedName>
    <definedName name="UcretHaftaSonu">Ayarlar!$B$6</definedName>
    <definedName name="AksamBas">Ayarlar!$B$7</definedName>
    <definedName name="Sahalar">Ayarlar!$B$10:$B$13</definedName>
    <definedName name="Saatler">Ayarlar!$D$3:$D$19</definedName>
    <definedName name="Durumlar">Ayarlar!$B$16:$B$19</definedName>
    <definedName name="Turler">Ayarlar!$B$21:$B$22</definedName>
    <definedName name="EvetHayir">Ayarlar!$D$40:$D$41</definedName>
    <definedName name="_xlnm._FilterDatabase" localSheetId="2" hidden="1">'Rezervasyonlar'!$A$1:$M$501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₺&quot;"/>
    <numFmt numFmtId="165" formatCode="hh:mm"/>
    <numFmt numFmtId="166" formatCode="dd.mm.yyyy"/>
    <numFmt numFmtId="167" formatCode="mm.yyyy"/>
  </numFmts>
  <fonts count="13">
    <font>
      <name val="Calibri"/>
      <family val="2"/>
      <color theme="1"/>
      <sz val="11"/>
      <scheme val="minor"/>
    </font>
    <font>
      <b val="1"/>
      <color rgb="0014532D"/>
      <sz val="18"/>
    </font>
    <font>
      <color rgb="006B7280"/>
    </font>
    <font>
      <b val="1"/>
      <color rgb="0016A34A"/>
      <sz val="12"/>
    </font>
    <font>
      <b val="1"/>
      <color rgb="0014532D"/>
      <sz val="12"/>
    </font>
    <font>
      <b val="1"/>
      <color rgb="0016A34A"/>
      <u val="single"/>
    </font>
    <font>
      <b val="1"/>
      <color rgb="0014532D"/>
      <sz val="14"/>
    </font>
    <font>
      <color rgb="006B7280"/>
      <sz val="9"/>
      <u val="single"/>
    </font>
    <font>
      <b val="1"/>
    </font>
    <font>
      <b val="1"/>
      <color rgb="00FFFFFF"/>
    </font>
    <font>
      <i val="1"/>
      <color rgb="006B7280"/>
    </font>
    <font>
      <color rgb="006B7280"/>
      <sz val="9"/>
    </font>
    <font>
      <b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14532D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2" borderId="1" pivotButton="0" quotePrefix="0" xfId="0"/>
    <xf numFmtId="165" fontId="0" fillId="2" borderId="1" pivotButton="0" quotePrefix="0" xfId="0"/>
    <xf numFmtId="0" fontId="2" fillId="0" borderId="0" applyAlignment="1" pivotButton="0" quotePrefix="0" xfId="0">
      <alignment vertical="top" wrapText="1"/>
    </xf>
    <xf numFmtId="164" fontId="0" fillId="2" borderId="1" pivotButton="0" quotePrefix="0" xfId="0"/>
    <xf numFmtId="0" fontId="0" fillId="0" borderId="0" applyAlignment="1" pivotButton="0" quotePrefix="0" xfId="0">
      <alignment horizontal="right"/>
    </xf>
    <xf numFmtId="0" fontId="9" fillId="3" borderId="1" applyAlignment="1" pivotButton="0" quotePrefix="0" xfId="0">
      <alignment horizontal="center" vertical="center" wrapText="1"/>
    </xf>
    <xf numFmtId="166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64" fontId="0" fillId="0" borderId="1" pivotButton="0" quotePrefix="0" xfId="0"/>
    <xf numFmtId="0" fontId="10" fillId="0" borderId="1" pivotButton="0" quotePrefix="0" xfId="0"/>
    <xf numFmtId="166" fontId="0" fillId="2" borderId="1" pivotButton="0" quotePrefix="0" xfId="0"/>
    <xf numFmtId="0" fontId="11" fillId="0" borderId="0" pivotButton="0" quotePrefix="0" xfId="0"/>
    <xf numFmtId="165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12" fillId="0" borderId="0" pivotButton="0" quotePrefix="0" xfId="0"/>
    <xf numFmtId="9" fontId="11" fillId="0" borderId="0" applyAlignment="1" pivotButton="0" quotePrefix="0" xfId="0">
      <alignment horizontal="center" vertical="center" wrapText="1"/>
    </xf>
    <xf numFmtId="167" fontId="0" fillId="2" borderId="1" pivotButton="0" quotePrefix="0" xfId="0"/>
    <xf numFmtId="9" fontId="0" fillId="0" borderId="1" pivotButton="0" quotePrefix="0" xfId="0"/>
    <xf numFmtId="0" fontId="8" fillId="0" borderId="1" pivotButton="0" quotePrefix="0" xfId="0"/>
    <xf numFmtId="164" fontId="8" fillId="0" borderId="1" pivotButton="0" quotePrefix="0" xfId="0"/>
  </cellXfs>
  <cellStyles count="1">
    <cellStyle name="Normal" xfId="0" builtinId="0" hidden="0"/>
  </cellStyles>
  <dxfs count="4">
    <dxf>
      <font>
        <strike val="1"/>
        <color rgb="009CA3AF"/>
      </font>
    </dxf>
    <dxf>
      <font>
        <b val="1"/>
        <color rgb="00991B1B"/>
      </font>
      <fill>
        <patternFill patternType="solid">
          <fgColor rgb="00FEE2E2"/>
        </patternFill>
      </fill>
    </dxf>
    <dxf>
      <font>
        <b val="1"/>
        <color rgb="00B45309"/>
      </font>
    </dxf>
    <dxf>
      <font>
        <b val="1"/>
        <color rgb="0014532D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anrikuluapps.com/arenapro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tanrikuluapps.com/arenapro/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tanrikuluapps.com/arenapro/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tanrikuluapps.com/arenapro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6" customWidth="1" min="2" max="2"/>
  </cols>
  <sheetData>
    <row r="2">
      <c r="B2" s="1" t="inlineStr">
        <is>
          <t>Halı Saha Takip ve Rezervasyon Çizelgesi</t>
        </is>
      </c>
    </row>
    <row r="3">
      <c r="B3" s="2" t="inlineStr">
        <is>
          <t>Ücretsiz şablon · Excel, Google E-Tablolar, Numbers ve LibreOffice'te açılır</t>
        </is>
      </c>
    </row>
    <row r="5">
      <c r="B5" s="3" t="inlineStr">
        <is>
          <t>1. Ayarlar</t>
        </is>
      </c>
    </row>
    <row r="6" ht="32" customHeight="1">
      <c r="B6" s="4" t="inlineStr">
        <is>
          <t>Tesis adınızı, sahalarınızı (en fazla 4), çalışma saatlerinizi ve saat ücretlerinizi yazın. Sarı hücreler sizin doldurduğunuz yerlerdir.</t>
        </is>
      </c>
    </row>
    <row r="8">
      <c r="B8" s="3" t="inlineStr">
        <is>
          <t>2. Rezervasyonlar</t>
        </is>
      </c>
    </row>
    <row r="9" ht="32" customHeight="1">
      <c r="B9" s="4" t="inlineStr">
        <is>
          <t>Her maçı bir satıra yazın: tarih, saat, saha, takım, telefon. Ücret ayarlardaki tarifeden kendiliğinden gelir; farklıysa üstüne yazın. Gece yarısından sonraki maçları (00:00, 01:00) bir önceki günün tarihiyle yazın.</t>
        </is>
      </c>
    </row>
    <row r="11">
      <c r="B11" s="3" t="inlineStr">
        <is>
          <t>3. Haftalık Çizelge</t>
        </is>
      </c>
    </row>
    <row r="12" ht="32" customHeight="1">
      <c r="B12" s="4" t="inlineStr">
        <is>
          <t>Hangi saatin dolu, hangisinin boş olduğunu saha saha gösterir. Varsayılan bu haftadır; başka bir hafta için B2'ye o haftanın pazartesisini yazın.</t>
        </is>
      </c>
    </row>
    <row r="14">
      <c r="B14" s="3" t="inlineStr">
        <is>
          <t>4. Aylık Özet</t>
        </is>
      </c>
    </row>
    <row r="15" ht="32" customHeight="1">
      <c r="B15" s="4" t="inlineStr">
        <is>
          <t>Saha başına maç sayısı, ciro, tahsil edilmemiş tutar, gelmeyen takım ve doluluk oranı.</t>
        </is>
      </c>
    </row>
    <row r="17">
      <c r="B17" s="3" t="inlineStr">
        <is>
          <t>5. Abone Takımlar</t>
        </is>
      </c>
    </row>
    <row r="18" ht="32" customHeight="1">
      <c r="B18" s="4" t="inlineStr">
        <is>
          <t>Her hafta aynı saatte oynayan takımların listesi. Bu maçları her hafta Rezervasyonlar sayfasına ayrıca yazmanız gerekir.</t>
        </is>
      </c>
    </row>
    <row r="20">
      <c r="B20" s="3" t="inlineStr">
        <is>
          <t>Örnek satırlar</t>
        </is>
      </c>
    </row>
    <row r="21" ht="32" customHeight="1">
      <c r="B21" s="4" t="inlineStr">
        <is>
          <t>İlk açılışta bu haftaya ait örnek maçlar görünür (Not sütununda ÖRNEK yazar). Kendi kayıtlarınıza başlamadan önce bu satırları silin.</t>
        </is>
      </c>
    </row>
    <row r="23">
      <c r="B23" s="5" t="inlineStr">
        <is>
          <t>Bu çizelgeyi elle tutmak yerine</t>
        </is>
      </c>
    </row>
    <row r="24" ht="48" customHeight="1">
      <c r="B24" s="4" t="inlineStr">
        <is>
          <t>ArenaPro aynı işi telefonda kendiliğinden yapar: abone maçları dört hafta ileriye kendisi yazar, aynı saate iki maç girilmesini engeller, kaporayı maç kapanınca düşer, gelmeyen takımı hatırlatır ve tesisinize özel rezervasyon sayfasında boş saatleri müşterilerinize canlı gösterir.</t>
        </is>
      </c>
    </row>
    <row r="25">
      <c r="B25" s="6" t="inlineStr">
        <is>
          <t>ArenaPro'yu 7 gün ücretsiz deneyin → tanrikuluapps.com/arenapro</t>
        </is>
      </c>
    </row>
  </sheetData>
  <hyperlinks>
    <hyperlink xmlns:r="http://schemas.openxmlformats.org/officeDocument/2006/relationships" ref="B2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1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4" customWidth="1" min="3" max="3"/>
    <col width="14" customWidth="1" min="4" max="4"/>
    <col width="30" customWidth="1" min="5" max="5"/>
  </cols>
  <sheetData>
    <row r="1">
      <c r="A1" s="7" t="inlineStr">
        <is>
          <t>Ayarlar</t>
        </is>
      </c>
      <c r="E1" s="8" t="inlineStr">
        <is>
          <t>tanrikuluapps.com ile hazırlandı</t>
        </is>
      </c>
    </row>
    <row r="2">
      <c r="D2" s="9" t="inlineStr">
        <is>
          <t>Saatler</t>
        </is>
      </c>
    </row>
    <row r="3">
      <c r="A3" s="9" t="inlineStr">
        <is>
          <t>Tesis adı</t>
        </is>
      </c>
      <c r="B3" s="10" t="inlineStr">
        <is>
          <t>Yıldız Halı Saha</t>
        </is>
      </c>
      <c r="D3" s="11" t="n">
        <v>0.375</v>
      </c>
      <c r="E3" s="12" t="inlineStr">
        <is>
          <t>Çizelgedeki saat satırları. Kendi saatlerinize göre değiştirin.</t>
        </is>
      </c>
    </row>
    <row r="4">
      <c r="A4" s="9" t="inlineStr">
        <is>
          <t>Gündüz saat ücreti</t>
        </is>
      </c>
      <c r="B4" s="13" t="n">
        <v>1500</v>
      </c>
      <c r="D4" s="11" t="n">
        <v>0.4166666666666667</v>
      </c>
    </row>
    <row r="5">
      <c r="A5" s="9" t="inlineStr">
        <is>
          <t>Akşam saat ücreti</t>
        </is>
      </c>
      <c r="B5" s="13" t="n">
        <v>2000</v>
      </c>
      <c r="D5" s="11" t="n">
        <v>0.4583333333333333</v>
      </c>
    </row>
    <row r="6">
      <c r="A6" s="9" t="inlineStr">
        <is>
          <t>Hafta sonu saat ücreti</t>
        </is>
      </c>
      <c r="B6" s="13" t="n">
        <v>2200</v>
      </c>
      <c r="D6" s="11" t="n">
        <v>0.5</v>
      </c>
    </row>
    <row r="7">
      <c r="A7" s="9" t="inlineStr">
        <is>
          <t>Akşam tarifesi başlangıcı</t>
        </is>
      </c>
      <c r="B7" s="11" t="n">
        <v>0.7083333333333334</v>
      </c>
      <c r="D7" s="11" t="n">
        <v>0.5416666666666666</v>
      </c>
    </row>
    <row r="8">
      <c r="D8" s="11" t="n">
        <v>0.5833333333333334</v>
      </c>
    </row>
    <row r="9">
      <c r="A9" s="9" t="inlineStr">
        <is>
          <t>Sahalar (en fazla 4)</t>
        </is>
      </c>
      <c r="D9" s="11" t="n">
        <v>0.625</v>
      </c>
    </row>
    <row r="10">
      <c r="A10" s="14" t="inlineStr">
        <is>
          <t>1.</t>
        </is>
      </c>
      <c r="B10" s="10" t="inlineStr">
        <is>
          <t>Saha 1</t>
        </is>
      </c>
      <c r="D10" s="11" t="n">
        <v>0.6666666666666666</v>
      </c>
    </row>
    <row r="11">
      <c r="A11" s="14" t="inlineStr">
        <is>
          <t>2.</t>
        </is>
      </c>
      <c r="B11" s="10" t="inlineStr">
        <is>
          <t>Saha 2</t>
        </is>
      </c>
      <c r="D11" s="11" t="n">
        <v>0.7083333333333334</v>
      </c>
    </row>
    <row r="12">
      <c r="A12" s="14" t="inlineStr">
        <is>
          <t>3.</t>
        </is>
      </c>
      <c r="B12" s="10" t="inlineStr">
        <is>
          <t>Saha 3</t>
        </is>
      </c>
      <c r="D12" s="11" t="n">
        <v>0.75</v>
      </c>
    </row>
    <row r="13">
      <c r="A13" s="14" t="inlineStr">
        <is>
          <t>4.</t>
        </is>
      </c>
      <c r="B13" s="10" t="n"/>
      <c r="D13" s="11" t="n">
        <v>0.7916666666666666</v>
      </c>
    </row>
    <row r="14">
      <c r="D14" s="11" t="n">
        <v>0.8333333333333334</v>
      </c>
    </row>
    <row r="15">
      <c r="A15" s="9" t="inlineStr">
        <is>
          <t>Durumlar</t>
        </is>
      </c>
      <c r="D15" s="11" t="n">
        <v>0.875</v>
      </c>
    </row>
    <row r="16">
      <c r="B16" t="inlineStr">
        <is>
          <t>Bekliyor</t>
        </is>
      </c>
      <c r="D16" s="11" t="n">
        <v>0.9166666666666666</v>
      </c>
    </row>
    <row r="17">
      <c r="B17" t="inlineStr">
        <is>
          <t>Geldi</t>
        </is>
      </c>
      <c r="D17" s="11" t="n">
        <v>0.9583333333333334</v>
      </c>
    </row>
    <row r="18">
      <c r="B18" t="inlineStr">
        <is>
          <t>Gelmedi</t>
        </is>
      </c>
      <c r="D18" s="11" t="n">
        <v>0</v>
      </c>
    </row>
    <row r="19">
      <c r="B19" t="inlineStr">
        <is>
          <t>İptal</t>
        </is>
      </c>
      <c r="D19" s="11" t="n">
        <v>0.04166666666666666</v>
      </c>
    </row>
    <row r="21">
      <c r="A21" s="9" t="inlineStr">
        <is>
          <t>Tür</t>
        </is>
      </c>
      <c r="B21" t="inlineStr">
        <is>
          <t>Tek maç</t>
        </is>
      </c>
    </row>
    <row r="22">
      <c r="B22" t="inlineStr">
        <is>
          <t>Abone</t>
        </is>
      </c>
    </row>
    <row r="40">
      <c r="D40" t="inlineStr">
        <is>
          <t>Evet</t>
        </is>
      </c>
    </row>
    <row r="41">
      <c r="D41" t="inlineStr">
        <is>
          <t>Hayır</t>
        </is>
      </c>
    </row>
  </sheetData>
  <hyperlinks>
    <hyperlink xmlns:r="http://schemas.openxmlformats.org/officeDocument/2006/relationships" ref="E1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8" customWidth="1" min="3" max="3"/>
    <col width="11" customWidth="1" min="4" max="4"/>
    <col width="22" customWidth="1" min="5" max="5"/>
    <col width="15" customWidth="1" min="6" max="6"/>
    <col width="10" customWidth="1" min="7" max="7"/>
    <col width="11" customWidth="1" min="8" max="8"/>
    <col width="10" customWidth="1" min="9" max="9"/>
    <col width="10" customWidth="1" min="10" max="10"/>
    <col width="11" customWidth="1" min="11" max="11"/>
    <col width="11" customWidth="1" min="12" max="12"/>
    <col width="24" customWidth="1" min="13" max="13"/>
    <col hidden="1" width="6" customWidth="1" min="14" max="14"/>
  </cols>
  <sheetData>
    <row r="1">
      <c r="A1" s="15" t="inlineStr">
        <is>
          <t>Tarih</t>
        </is>
      </c>
      <c r="B1" s="15" t="inlineStr">
        <is>
          <t>Gün</t>
        </is>
      </c>
      <c r="C1" s="15" t="inlineStr">
        <is>
          <t>Saat</t>
        </is>
      </c>
      <c r="D1" s="15" t="inlineStr">
        <is>
          <t>Saha</t>
        </is>
      </c>
      <c r="E1" s="15" t="inlineStr">
        <is>
          <t>Takım / kişi</t>
        </is>
      </c>
      <c r="F1" s="15" t="inlineStr">
        <is>
          <t>Telefon</t>
        </is>
      </c>
      <c r="G1" s="15" t="inlineStr">
        <is>
          <t>Tür</t>
        </is>
      </c>
      <c r="H1" s="15" t="inlineStr">
        <is>
          <t>Ücret</t>
        </is>
      </c>
      <c r="I1" s="15" t="inlineStr">
        <is>
          <t>Kapora</t>
        </is>
      </c>
      <c r="J1" s="15" t="inlineStr">
        <is>
          <t>Ödendi mi</t>
        </is>
      </c>
      <c r="K1" s="15" t="inlineStr">
        <is>
          <t>Kalan</t>
        </is>
      </c>
      <c r="L1" s="15" t="inlineStr">
        <is>
          <t>Durum</t>
        </is>
      </c>
      <c r="M1" s="15" t="inlineStr">
        <is>
          <t>Not</t>
        </is>
      </c>
      <c r="N1" s="15" t="inlineStr">
        <is>
          <t>anahtar</t>
        </is>
      </c>
    </row>
    <row r="2">
      <c r="A2" s="16">
        <f>TODAY()-WEEKDAY(TODAY(),2)+1+0</f>
        <v/>
      </c>
      <c r="B2" s="17">
        <f>IF(A2="","",CHOOSE(WEEKDAY(A2,2),"Pzt","Sal","Çar","Per","Cum","Cmt","Paz"))</f>
        <v/>
      </c>
      <c r="C2" s="18" t="n">
        <v>0.7916666666666666</v>
      </c>
      <c r="D2" s="17" t="inlineStr">
        <is>
          <t>Saha 1</t>
        </is>
      </c>
      <c r="E2" s="17" t="inlineStr">
        <is>
          <t>Kartallar</t>
        </is>
      </c>
      <c r="F2" s="17" t="inlineStr">
        <is>
          <t>0532 000 00 01</t>
        </is>
      </c>
      <c r="G2" s="17" t="inlineStr">
        <is>
          <t>Abone</t>
        </is>
      </c>
      <c r="H2" s="19">
        <f>IF(OR(A2="",C2=""),"",IF(WEEKDAY(A2,2)&gt;=6,UcretHaftaSonu,IF(OR(C2&gt;=AksamBas,C2&lt;TIME(6,0,0)),UcretAksam,UcretGunduz)))</f>
        <v/>
      </c>
      <c r="I2" s="19" t="n">
        <v>500</v>
      </c>
      <c r="J2" s="17" t="inlineStr">
        <is>
          <t>Evet</t>
        </is>
      </c>
      <c r="K2" s="19">
        <f>IF(H2="","",IF(J2="Evet",0,H2-N(I2)))</f>
        <v/>
      </c>
      <c r="L2" s="17" t="inlineStr">
        <is>
          <t>Geldi</t>
        </is>
      </c>
      <c r="M2" s="20" t="inlineStr">
        <is>
          <t>ÖRNEK — silin</t>
        </is>
      </c>
      <c r="N2">
        <f>IF(OR(A2="",C2="",D2="",L2="İptal"),"",IFERROR(INT(A2)*100000+ROUND(C2*1440,0)*10+MATCH(D2,Sahalar,0),""))</f>
        <v/>
      </c>
    </row>
    <row r="3">
      <c r="A3" s="16">
        <f>TODAY()-WEEKDAY(TODAY(),2)+1+0</f>
        <v/>
      </c>
      <c r="B3" s="17">
        <f>IF(A3="","",CHOOSE(WEEKDAY(A3,2),"Pzt","Sal","Çar","Per","Cum","Cmt","Paz"))</f>
        <v/>
      </c>
      <c r="C3" s="18" t="n">
        <v>0.8333333333333334</v>
      </c>
      <c r="D3" s="17" t="inlineStr">
        <is>
          <t>Saha 1</t>
        </is>
      </c>
      <c r="E3" s="17" t="inlineStr">
        <is>
          <t>Mahalle FC</t>
        </is>
      </c>
      <c r="F3" s="17" t="inlineStr">
        <is>
          <t>0532 000 00 02</t>
        </is>
      </c>
      <c r="G3" s="17" t="inlineStr">
        <is>
          <t>Tek maç</t>
        </is>
      </c>
      <c r="H3" s="19">
        <f>IF(OR(A3="",C3=""),"",IF(WEEKDAY(A3,2)&gt;=6,UcretHaftaSonu,IF(OR(C3&gt;=AksamBas,C3&lt;TIME(6,0,0)),UcretAksam,UcretGunduz)))</f>
        <v/>
      </c>
      <c r="I3" s="19" t="n">
        <v>500</v>
      </c>
      <c r="J3" s="17" t="inlineStr">
        <is>
          <t>Evet</t>
        </is>
      </c>
      <c r="K3" s="19">
        <f>IF(H3="","",IF(J3="Evet",0,H3-N(I3)))</f>
        <v/>
      </c>
      <c r="L3" s="17" t="inlineStr">
        <is>
          <t>Geldi</t>
        </is>
      </c>
      <c r="M3" s="20" t="inlineStr">
        <is>
          <t>ÖRNEK — silin</t>
        </is>
      </c>
      <c r="N3">
        <f>IF(OR(A3="",C3="",D3="",L3="İptal"),"",IFERROR(INT(A3)*100000+ROUND(C3*1440,0)*10+MATCH(D3,Sahalar,0),""))</f>
        <v/>
      </c>
    </row>
    <row r="4">
      <c r="A4" s="16">
        <f>TODAY()-WEEKDAY(TODAY(),2)+1+0</f>
        <v/>
      </c>
      <c r="B4" s="17">
        <f>IF(A4="","",CHOOSE(WEEKDAY(A4,2),"Pzt","Sal","Çar","Per","Cum","Cmt","Paz"))</f>
        <v/>
      </c>
      <c r="C4" s="18" t="n">
        <v>0.875</v>
      </c>
      <c r="D4" s="17" t="inlineStr">
        <is>
          <t>Saha 2</t>
        </is>
      </c>
      <c r="E4" s="17" t="inlineStr">
        <is>
          <t>Ofis Takımı</t>
        </is>
      </c>
      <c r="F4" s="17" t="inlineStr">
        <is>
          <t>0532 000 00 03</t>
        </is>
      </c>
      <c r="G4" s="17" t="inlineStr">
        <is>
          <t>Tek maç</t>
        </is>
      </c>
      <c r="H4" s="19">
        <f>IF(OR(A4="",C4=""),"",IF(WEEKDAY(A4,2)&gt;=6,UcretHaftaSonu,IF(OR(C4&gt;=AksamBas,C4&lt;TIME(6,0,0)),UcretAksam,UcretGunduz)))</f>
        <v/>
      </c>
      <c r="I4" s="19" t="n"/>
      <c r="J4" s="17" t="inlineStr">
        <is>
          <t>Hayır</t>
        </is>
      </c>
      <c r="K4" s="19">
        <f>IF(H4="","",IF(J4="Evet",0,H4-N(I4)))</f>
        <v/>
      </c>
      <c r="L4" s="17" t="inlineStr">
        <is>
          <t>Gelmedi</t>
        </is>
      </c>
      <c r="M4" s="20" t="inlineStr">
        <is>
          <t>ÖRNEK — silin</t>
        </is>
      </c>
      <c r="N4">
        <f>IF(OR(A4="",C4="",D4="",L4="İptal"),"",IFERROR(INT(A4)*100000+ROUND(C4*1440,0)*10+MATCH(D4,Sahalar,0),""))</f>
        <v/>
      </c>
    </row>
    <row r="5">
      <c r="A5" s="16">
        <f>TODAY()-WEEKDAY(TODAY(),2)+1+1</f>
        <v/>
      </c>
      <c r="B5" s="17">
        <f>IF(A5="","",CHOOSE(WEEKDAY(A5,2),"Pzt","Sal","Çar","Per","Cum","Cmt","Paz"))</f>
        <v/>
      </c>
      <c r="C5" s="18" t="n">
        <v>0.8333333333333334</v>
      </c>
      <c r="D5" s="17" t="inlineStr">
        <is>
          <t>Saha 1</t>
        </is>
      </c>
      <c r="E5" s="17" t="inlineStr">
        <is>
          <t>Yıldızspor</t>
        </is>
      </c>
      <c r="F5" s="17" t="inlineStr">
        <is>
          <t>0532 000 00 04</t>
        </is>
      </c>
      <c r="G5" s="17" t="inlineStr">
        <is>
          <t>Abone</t>
        </is>
      </c>
      <c r="H5" s="19">
        <f>IF(OR(A5="",C5=""),"",IF(WEEKDAY(A5,2)&gt;=6,UcretHaftaSonu,IF(OR(C5&gt;=AksamBas,C5&lt;TIME(6,0,0)),UcretAksam,UcretGunduz)))</f>
        <v/>
      </c>
      <c r="I5" s="19" t="n">
        <v>500</v>
      </c>
      <c r="J5" s="17" t="inlineStr">
        <is>
          <t>Evet</t>
        </is>
      </c>
      <c r="K5" s="19">
        <f>IF(H5="","",IF(J5="Evet",0,H5-N(I5)))</f>
        <v/>
      </c>
      <c r="L5" s="17" t="inlineStr">
        <is>
          <t>Geldi</t>
        </is>
      </c>
      <c r="M5" s="20" t="inlineStr">
        <is>
          <t>ÖRNEK — silin</t>
        </is>
      </c>
      <c r="N5">
        <f>IF(OR(A5="",C5="",D5="",L5="İptal"),"",IFERROR(INT(A5)*100000+ROUND(C5*1440,0)*10+MATCH(D5,Sahalar,0),""))</f>
        <v/>
      </c>
    </row>
    <row r="6">
      <c r="A6" s="16">
        <f>TODAY()-WEEKDAY(TODAY(),2)+1+1</f>
        <v/>
      </c>
      <c r="B6" s="17">
        <f>IF(A6="","",CHOOSE(WEEKDAY(A6,2),"Pzt","Sal","Çar","Per","Cum","Cmt","Paz"))</f>
        <v/>
      </c>
      <c r="C6" s="18" t="n">
        <v>0.875</v>
      </c>
      <c r="D6" s="17" t="inlineStr">
        <is>
          <t>Saha 1</t>
        </is>
      </c>
      <c r="E6" s="17" t="inlineStr">
        <is>
          <t>Gençlik</t>
        </is>
      </c>
      <c r="F6" s="17" t="inlineStr">
        <is>
          <t>0532 000 00 05</t>
        </is>
      </c>
      <c r="G6" s="17" t="inlineStr">
        <is>
          <t>Tek maç</t>
        </is>
      </c>
      <c r="H6" s="19">
        <f>IF(OR(A6="",C6=""),"",IF(WEEKDAY(A6,2)&gt;=6,UcretHaftaSonu,IF(OR(C6&gt;=AksamBas,C6&lt;TIME(6,0,0)),UcretAksam,UcretGunduz)))</f>
        <v/>
      </c>
      <c r="I6" s="19" t="n">
        <v>500</v>
      </c>
      <c r="J6" s="17" t="inlineStr">
        <is>
          <t>Hayır</t>
        </is>
      </c>
      <c r="K6" s="19">
        <f>IF(H6="","",IF(J6="Evet",0,H6-N(I6)))</f>
        <v/>
      </c>
      <c r="L6" s="17" t="inlineStr">
        <is>
          <t>Bekliyor</t>
        </is>
      </c>
      <c r="M6" s="20" t="inlineStr">
        <is>
          <t>ÖRNEK — silin</t>
        </is>
      </c>
      <c r="N6">
        <f>IF(OR(A6="",C6="",D6="",L6="İptal"),"",IFERROR(INT(A6)*100000+ROUND(C6*1440,0)*10+MATCH(D6,Sahalar,0),""))</f>
        <v/>
      </c>
    </row>
    <row r="7">
      <c r="A7" s="16">
        <f>TODAY()-WEEKDAY(TODAY(),2)+1+1</f>
        <v/>
      </c>
      <c r="B7" s="17">
        <f>IF(A7="","",CHOOSE(WEEKDAY(A7,2),"Pzt","Sal","Çar","Per","Cum","Cmt","Paz"))</f>
        <v/>
      </c>
      <c r="C7" s="18" t="n">
        <v>0.9166666666666666</v>
      </c>
      <c r="D7" s="17" t="inlineStr">
        <is>
          <t>Saha 2</t>
        </is>
      </c>
      <c r="E7" s="17" t="inlineStr">
        <is>
          <t>Doktorlar</t>
        </is>
      </c>
      <c r="F7" s="17" t="inlineStr">
        <is>
          <t>0532 000 00 06</t>
        </is>
      </c>
      <c r="G7" s="17" t="inlineStr">
        <is>
          <t>Tek maç</t>
        </is>
      </c>
      <c r="H7" s="19">
        <f>IF(OR(A7="",C7=""),"",IF(WEEKDAY(A7,2)&gt;=6,UcretHaftaSonu,IF(OR(C7&gt;=AksamBas,C7&lt;TIME(6,0,0)),UcretAksam,UcretGunduz)))</f>
        <v/>
      </c>
      <c r="I7" s="19" t="n"/>
      <c r="J7" s="17" t="inlineStr">
        <is>
          <t>Hayır</t>
        </is>
      </c>
      <c r="K7" s="19">
        <f>IF(H7="","",IF(J7="Evet",0,H7-N(I7)))</f>
        <v/>
      </c>
      <c r="L7" s="17" t="inlineStr">
        <is>
          <t>İptal</t>
        </is>
      </c>
      <c r="M7" s="20" t="inlineStr">
        <is>
          <t>ÖRNEK — silin</t>
        </is>
      </c>
      <c r="N7">
        <f>IF(OR(A7="",C7="",D7="",L7="İptal"),"",IFERROR(INT(A7)*100000+ROUND(C7*1440,0)*10+MATCH(D7,Sahalar,0),""))</f>
        <v/>
      </c>
    </row>
    <row r="8">
      <c r="A8" s="16">
        <f>TODAY()-WEEKDAY(TODAY(),2)+1+2</f>
        <v/>
      </c>
      <c r="B8" s="17">
        <f>IF(A8="","",CHOOSE(WEEKDAY(A8,2),"Pzt","Sal","Çar","Per","Cum","Cmt","Paz"))</f>
        <v/>
      </c>
      <c r="C8" s="18" t="n">
        <v>0.7916666666666666</v>
      </c>
      <c r="D8" s="17" t="inlineStr">
        <is>
          <t>Saha 2</t>
        </is>
      </c>
      <c r="E8" s="17" t="inlineStr">
        <is>
          <t>Kampüs</t>
        </is>
      </c>
      <c r="F8" s="17" t="inlineStr">
        <is>
          <t>0532 000 00 07</t>
        </is>
      </c>
      <c r="G8" s="17" t="inlineStr">
        <is>
          <t>Tek maç</t>
        </is>
      </c>
      <c r="H8" s="19">
        <f>IF(OR(A8="",C8=""),"",IF(WEEKDAY(A8,2)&gt;=6,UcretHaftaSonu,IF(OR(C8&gt;=AksamBas,C8&lt;TIME(6,0,0)),UcretAksam,UcretGunduz)))</f>
        <v/>
      </c>
      <c r="I8" s="19" t="n">
        <v>500</v>
      </c>
      <c r="J8" s="17" t="inlineStr">
        <is>
          <t>Hayır</t>
        </is>
      </c>
      <c r="K8" s="19">
        <f>IF(H8="","",IF(J8="Evet",0,H8-N(I8)))</f>
        <v/>
      </c>
      <c r="L8" s="17" t="inlineStr">
        <is>
          <t>Bekliyor</t>
        </is>
      </c>
      <c r="M8" s="20" t="inlineStr">
        <is>
          <t>ÖRNEK — silin</t>
        </is>
      </c>
      <c r="N8">
        <f>IF(OR(A8="",C8="",D8="",L8="İptal"),"",IFERROR(INT(A8)*100000+ROUND(C8*1440,0)*10+MATCH(D8,Sahalar,0),""))</f>
        <v/>
      </c>
    </row>
    <row r="9">
      <c r="A9" s="16">
        <f>TODAY()-WEEKDAY(TODAY(),2)+1+2</f>
        <v/>
      </c>
      <c r="B9" s="17">
        <f>IF(A9="","",CHOOSE(WEEKDAY(A9,2),"Pzt","Sal","Çar","Per","Cum","Cmt","Paz"))</f>
        <v/>
      </c>
      <c r="C9" s="18" t="n">
        <v>0.875</v>
      </c>
      <c r="D9" s="17" t="inlineStr">
        <is>
          <t>Saha 1</t>
        </is>
      </c>
      <c r="E9" s="17" t="inlineStr">
        <is>
          <t>Kartallar</t>
        </is>
      </c>
      <c r="F9" s="17" t="inlineStr">
        <is>
          <t>0532 000 00 01</t>
        </is>
      </c>
      <c r="G9" s="17" t="inlineStr">
        <is>
          <t>Abone</t>
        </is>
      </c>
      <c r="H9" s="19">
        <f>IF(OR(A9="",C9=""),"",IF(WEEKDAY(A9,2)&gt;=6,UcretHaftaSonu,IF(OR(C9&gt;=AksamBas,C9&lt;TIME(6,0,0)),UcretAksam,UcretGunduz)))</f>
        <v/>
      </c>
      <c r="I9" s="19" t="n">
        <v>500</v>
      </c>
      <c r="J9" s="17" t="inlineStr">
        <is>
          <t>Hayır</t>
        </is>
      </c>
      <c r="K9" s="19">
        <f>IF(H9="","",IF(J9="Evet",0,H9-N(I9)))</f>
        <v/>
      </c>
      <c r="L9" s="17" t="inlineStr">
        <is>
          <t>Bekliyor</t>
        </is>
      </c>
      <c r="M9" s="20" t="inlineStr">
        <is>
          <t>ÖRNEK — silin</t>
        </is>
      </c>
      <c r="N9">
        <f>IF(OR(A9="",C9="",D9="",L9="İptal"),"",IFERROR(INT(A9)*100000+ROUND(C9*1440,0)*10+MATCH(D9,Sahalar,0),""))</f>
        <v/>
      </c>
    </row>
    <row r="10">
      <c r="A10" s="16">
        <f>TODAY()-WEEKDAY(TODAY(),2)+1+3</f>
        <v/>
      </c>
      <c r="B10" s="17">
        <f>IF(A10="","",CHOOSE(WEEKDAY(A10,2),"Pzt","Sal","Çar","Per","Cum","Cmt","Paz"))</f>
        <v/>
      </c>
      <c r="C10" s="18" t="n">
        <v>0.8333333333333334</v>
      </c>
      <c r="D10" s="17" t="inlineStr">
        <is>
          <t>Saha 3</t>
        </is>
      </c>
      <c r="E10" s="17" t="inlineStr">
        <is>
          <t>Muhasebe</t>
        </is>
      </c>
      <c r="F10" s="17" t="inlineStr">
        <is>
          <t>0532 000 00 08</t>
        </is>
      </c>
      <c r="G10" s="17" t="inlineStr">
        <is>
          <t>Tek maç</t>
        </is>
      </c>
      <c r="H10" s="19">
        <f>IF(OR(A10="",C10=""),"",IF(WEEKDAY(A10,2)&gt;=6,UcretHaftaSonu,IF(OR(C10&gt;=AksamBas,C10&lt;TIME(6,0,0)),UcretAksam,UcretGunduz)))</f>
        <v/>
      </c>
      <c r="I10" s="19" t="n">
        <v>500</v>
      </c>
      <c r="J10" s="17" t="inlineStr">
        <is>
          <t>Hayır</t>
        </is>
      </c>
      <c r="K10" s="19">
        <f>IF(H10="","",IF(J10="Evet",0,H10-N(I10)))</f>
        <v/>
      </c>
      <c r="L10" s="17" t="inlineStr">
        <is>
          <t>Bekliyor</t>
        </is>
      </c>
      <c r="M10" s="20" t="inlineStr">
        <is>
          <t>ÖRNEK — silin</t>
        </is>
      </c>
      <c r="N10">
        <f>IF(OR(A10="",C10="",D10="",L10="İptal"),"",IFERROR(INT(A10)*100000+ROUND(C10*1440,0)*10+MATCH(D10,Sahalar,0),""))</f>
        <v/>
      </c>
    </row>
    <row r="11">
      <c r="A11" s="16">
        <f>TODAY()-WEEKDAY(TODAY(),2)+1+3</f>
        <v/>
      </c>
      <c r="B11" s="17">
        <f>IF(A11="","",CHOOSE(WEEKDAY(A11,2),"Pzt","Sal","Çar","Per","Cum","Cmt","Paz"))</f>
        <v/>
      </c>
      <c r="C11" s="18" t="n">
        <v>0.9166666666666666</v>
      </c>
      <c r="D11" s="17" t="inlineStr">
        <is>
          <t>Saha 1</t>
        </is>
      </c>
      <c r="E11" s="17" t="inlineStr">
        <is>
          <t>Gece Kuşları</t>
        </is>
      </c>
      <c r="F11" s="17" t="inlineStr">
        <is>
          <t>0532 000 00 09</t>
        </is>
      </c>
      <c r="G11" s="17" t="inlineStr">
        <is>
          <t>Tek maç</t>
        </is>
      </c>
      <c r="H11" s="19">
        <f>IF(OR(A11="",C11=""),"",IF(WEEKDAY(A11,2)&gt;=6,UcretHaftaSonu,IF(OR(C11&gt;=AksamBas,C11&lt;TIME(6,0,0)),UcretAksam,UcretGunduz)))</f>
        <v/>
      </c>
      <c r="I11" s="19" t="n">
        <v>500</v>
      </c>
      <c r="J11" s="17" t="inlineStr">
        <is>
          <t>Hayır</t>
        </is>
      </c>
      <c r="K11" s="19">
        <f>IF(H11="","",IF(J11="Evet",0,H11-N(I11)))</f>
        <v/>
      </c>
      <c r="L11" s="17" t="inlineStr">
        <is>
          <t>Bekliyor</t>
        </is>
      </c>
      <c r="M11" s="20" t="inlineStr">
        <is>
          <t>ÖRNEK — silin</t>
        </is>
      </c>
      <c r="N11">
        <f>IF(OR(A11="",C11="",D11="",L11="İptal"),"",IFERROR(INT(A11)*100000+ROUND(C11*1440,0)*10+MATCH(D11,Sahalar,0),""))</f>
        <v/>
      </c>
    </row>
    <row r="12">
      <c r="A12" s="16">
        <f>TODAY()-WEEKDAY(TODAY(),2)+1+4</f>
        <v/>
      </c>
      <c r="B12" s="17">
        <f>IF(A12="","",CHOOSE(WEEKDAY(A12,2),"Pzt","Sal","Çar","Per","Cum","Cmt","Paz"))</f>
        <v/>
      </c>
      <c r="C12" s="18" t="n">
        <v>0.8333333333333334</v>
      </c>
      <c r="D12" s="17" t="inlineStr">
        <is>
          <t>Saha 1</t>
        </is>
      </c>
      <c r="E12" s="17" t="inlineStr">
        <is>
          <t>Esnaf Ligi</t>
        </is>
      </c>
      <c r="F12" s="17" t="inlineStr">
        <is>
          <t>0532 000 00 10</t>
        </is>
      </c>
      <c r="G12" s="17" t="inlineStr">
        <is>
          <t>Abone</t>
        </is>
      </c>
      <c r="H12" s="19">
        <f>IF(OR(A12="",C12=""),"",IF(WEEKDAY(A12,2)&gt;=6,UcretHaftaSonu,IF(OR(C12&gt;=AksamBas,C12&lt;TIME(6,0,0)),UcretAksam,UcretGunduz)))</f>
        <v/>
      </c>
      <c r="I12" s="19" t="n">
        <v>500</v>
      </c>
      <c r="J12" s="17" t="inlineStr">
        <is>
          <t>Hayır</t>
        </is>
      </c>
      <c r="K12" s="19">
        <f>IF(H12="","",IF(J12="Evet",0,H12-N(I12)))</f>
        <v/>
      </c>
      <c r="L12" s="17" t="inlineStr">
        <is>
          <t>Bekliyor</t>
        </is>
      </c>
      <c r="M12" s="20" t="inlineStr">
        <is>
          <t>ÖRNEK — silin</t>
        </is>
      </c>
      <c r="N12">
        <f>IF(OR(A12="",C12="",D12="",L12="İptal"),"",IFERROR(INT(A12)*100000+ROUND(C12*1440,0)*10+MATCH(D12,Sahalar,0),""))</f>
        <v/>
      </c>
    </row>
    <row r="13">
      <c r="A13" s="16">
        <f>TODAY()-WEEKDAY(TODAY(),2)+1+4</f>
        <v/>
      </c>
      <c r="B13" s="17">
        <f>IF(A13="","",CHOOSE(WEEKDAY(A13,2),"Pzt","Sal","Çar","Per","Cum","Cmt","Paz"))</f>
        <v/>
      </c>
      <c r="C13" s="18" t="n">
        <v>0.875</v>
      </c>
      <c r="D13" s="17" t="inlineStr">
        <is>
          <t>Saha 2</t>
        </is>
      </c>
      <c r="E13" s="17" t="inlineStr">
        <is>
          <t>Mahalle FC</t>
        </is>
      </c>
      <c r="F13" s="17" t="inlineStr">
        <is>
          <t>0532 000 00 02</t>
        </is>
      </c>
      <c r="G13" s="17" t="inlineStr">
        <is>
          <t>Tek maç</t>
        </is>
      </c>
      <c r="H13" s="19">
        <f>IF(OR(A13="",C13=""),"",IF(WEEKDAY(A13,2)&gt;=6,UcretHaftaSonu,IF(OR(C13&gt;=AksamBas,C13&lt;TIME(6,0,0)),UcretAksam,UcretGunduz)))</f>
        <v/>
      </c>
      <c r="I13" s="19" t="n">
        <v>500</v>
      </c>
      <c r="J13" s="17" t="inlineStr">
        <is>
          <t>Hayır</t>
        </is>
      </c>
      <c r="K13" s="19">
        <f>IF(H13="","",IF(J13="Evet",0,H13-N(I13)))</f>
        <v/>
      </c>
      <c r="L13" s="17" t="inlineStr">
        <is>
          <t>Bekliyor</t>
        </is>
      </c>
      <c r="M13" s="20" t="inlineStr">
        <is>
          <t>ÖRNEK — silin</t>
        </is>
      </c>
      <c r="N13">
        <f>IF(OR(A13="",C13="",D13="",L13="İptal"),"",IFERROR(INT(A13)*100000+ROUND(C13*1440,0)*10+MATCH(D13,Sahalar,0),""))</f>
        <v/>
      </c>
    </row>
    <row r="14">
      <c r="A14" s="16">
        <f>TODAY()-WEEKDAY(TODAY(),2)+1+4</f>
        <v/>
      </c>
      <c r="B14" s="17">
        <f>IF(A14="","",CHOOSE(WEEKDAY(A14,2),"Pzt","Sal","Çar","Per","Cum","Cmt","Paz"))</f>
        <v/>
      </c>
      <c r="C14" s="18" t="n">
        <v>0</v>
      </c>
      <c r="D14" s="17" t="inlineStr">
        <is>
          <t>Saha 1</t>
        </is>
      </c>
      <c r="E14" s="17" t="inlineStr">
        <is>
          <t>Gece Kuşları</t>
        </is>
      </c>
      <c r="F14" s="17" t="inlineStr">
        <is>
          <t>0532 000 00 09</t>
        </is>
      </c>
      <c r="G14" s="17" t="inlineStr">
        <is>
          <t>Tek maç</t>
        </is>
      </c>
      <c r="H14" s="19">
        <f>IF(OR(A14="",C14=""),"",IF(WEEKDAY(A14,2)&gt;=6,UcretHaftaSonu,IF(OR(C14&gt;=AksamBas,C14&lt;TIME(6,0,0)),UcretAksam,UcretGunduz)))</f>
        <v/>
      </c>
      <c r="I14" s="19" t="n">
        <v>500</v>
      </c>
      <c r="J14" s="17" t="inlineStr">
        <is>
          <t>Hayır</t>
        </is>
      </c>
      <c r="K14" s="19">
        <f>IF(H14="","",IF(J14="Evet",0,H14-N(I14)))</f>
        <v/>
      </c>
      <c r="L14" s="17" t="inlineStr">
        <is>
          <t>Bekliyor</t>
        </is>
      </c>
      <c r="M14" s="20" t="inlineStr">
        <is>
          <t>ÖRNEK — silin</t>
        </is>
      </c>
      <c r="N14">
        <f>IF(OR(A14="",C14="",D14="",L14="İptal"),"",IFERROR(INT(A14)*100000+ROUND(C14*1440,0)*10+MATCH(D14,Sahalar,0),""))</f>
        <v/>
      </c>
    </row>
    <row r="15">
      <c r="A15" s="16">
        <f>TODAY()-WEEKDAY(TODAY(),2)+1+5</f>
        <v/>
      </c>
      <c r="B15" s="17">
        <f>IF(A15="","",CHOOSE(WEEKDAY(A15,2),"Pzt","Sal","Çar","Per","Cum","Cmt","Paz"))</f>
        <v/>
      </c>
      <c r="C15" s="18" t="n">
        <v>0.4583333333333333</v>
      </c>
      <c r="D15" s="17" t="inlineStr">
        <is>
          <t>Saha 3</t>
        </is>
      </c>
      <c r="E15" s="17" t="inlineStr">
        <is>
          <t>Çocuk Okulu</t>
        </is>
      </c>
      <c r="F15" s="17" t="inlineStr">
        <is>
          <t>0532 000 00 11</t>
        </is>
      </c>
      <c r="G15" s="17" t="inlineStr">
        <is>
          <t>Abone</t>
        </is>
      </c>
      <c r="H15" s="19">
        <f>IF(OR(A15="",C15=""),"",IF(WEEKDAY(A15,2)&gt;=6,UcretHaftaSonu,IF(OR(C15&gt;=AksamBas,C15&lt;TIME(6,0,0)),UcretAksam,UcretGunduz)))</f>
        <v/>
      </c>
      <c r="I15" s="19" t="n"/>
      <c r="J15" s="17" t="inlineStr">
        <is>
          <t>Hayır</t>
        </is>
      </c>
      <c r="K15" s="19">
        <f>IF(H15="","",IF(J15="Evet",0,H15-N(I15)))</f>
        <v/>
      </c>
      <c r="L15" s="17" t="inlineStr">
        <is>
          <t>Bekliyor</t>
        </is>
      </c>
      <c r="M15" s="20" t="inlineStr">
        <is>
          <t>ÖRNEK — silin</t>
        </is>
      </c>
      <c r="N15">
        <f>IF(OR(A15="",C15="",D15="",L15="İptal"),"",IFERROR(INT(A15)*100000+ROUND(C15*1440,0)*10+MATCH(D15,Sahalar,0),""))</f>
        <v/>
      </c>
    </row>
    <row r="16">
      <c r="A16" s="16">
        <f>TODAY()-WEEKDAY(TODAY(),2)+1+5</f>
        <v/>
      </c>
      <c r="B16" s="17">
        <f>IF(A16="","",CHOOSE(WEEKDAY(A16,2),"Pzt","Sal","Çar","Per","Cum","Cmt","Paz"))</f>
        <v/>
      </c>
      <c r="C16" s="18" t="n">
        <v>0.75</v>
      </c>
      <c r="D16" s="17" t="inlineStr">
        <is>
          <t>Saha 1</t>
        </is>
      </c>
      <c r="E16" s="17" t="inlineStr">
        <is>
          <t>Hafta Sonu</t>
        </is>
      </c>
      <c r="F16" s="17" t="inlineStr">
        <is>
          <t>0532 000 00 12</t>
        </is>
      </c>
      <c r="G16" s="17" t="inlineStr">
        <is>
          <t>Tek maç</t>
        </is>
      </c>
      <c r="H16" s="19">
        <f>IF(OR(A16="",C16=""),"",IF(WEEKDAY(A16,2)&gt;=6,UcretHaftaSonu,IF(OR(C16&gt;=AksamBas,C16&lt;TIME(6,0,0)),UcretAksam,UcretGunduz)))</f>
        <v/>
      </c>
      <c r="I16" s="19" t="n">
        <v>500</v>
      </c>
      <c r="J16" s="17" t="inlineStr">
        <is>
          <t>Hayır</t>
        </is>
      </c>
      <c r="K16" s="19">
        <f>IF(H16="","",IF(J16="Evet",0,H16-N(I16)))</f>
        <v/>
      </c>
      <c r="L16" s="17" t="inlineStr">
        <is>
          <t>Bekliyor</t>
        </is>
      </c>
      <c r="M16" s="20" t="inlineStr">
        <is>
          <t>ÖRNEK — silin</t>
        </is>
      </c>
      <c r="N16">
        <f>IF(OR(A16="",C16="",D16="",L16="İptal"),"",IFERROR(INT(A16)*100000+ROUND(C16*1440,0)*10+MATCH(D16,Sahalar,0),""))</f>
        <v/>
      </c>
    </row>
    <row r="17">
      <c r="A17" s="16">
        <f>TODAY()-WEEKDAY(TODAY(),2)+1+5</f>
        <v/>
      </c>
      <c r="B17" s="17">
        <f>IF(A17="","",CHOOSE(WEEKDAY(A17,2),"Pzt","Sal","Çar","Per","Cum","Cmt","Paz"))</f>
        <v/>
      </c>
      <c r="C17" s="18" t="n">
        <v>0.8333333333333334</v>
      </c>
      <c r="D17" s="17" t="inlineStr">
        <is>
          <t>Saha 2</t>
        </is>
      </c>
      <c r="E17" s="17" t="inlineStr">
        <is>
          <t>Yıldızspor</t>
        </is>
      </c>
      <c r="F17" s="17" t="inlineStr">
        <is>
          <t>0532 000 00 04</t>
        </is>
      </c>
      <c r="G17" s="17" t="inlineStr">
        <is>
          <t>Tek maç</t>
        </is>
      </c>
      <c r="H17" s="19">
        <f>IF(OR(A17="",C17=""),"",IF(WEEKDAY(A17,2)&gt;=6,UcretHaftaSonu,IF(OR(C17&gt;=AksamBas,C17&lt;TIME(6,0,0)),UcretAksam,UcretGunduz)))</f>
        <v/>
      </c>
      <c r="I17" s="19" t="n">
        <v>500</v>
      </c>
      <c r="J17" s="17" t="inlineStr">
        <is>
          <t>Hayır</t>
        </is>
      </c>
      <c r="K17" s="19">
        <f>IF(H17="","",IF(J17="Evet",0,H17-N(I17)))</f>
        <v/>
      </c>
      <c r="L17" s="17" t="inlineStr">
        <is>
          <t>Bekliyor</t>
        </is>
      </c>
      <c r="M17" s="20" t="inlineStr">
        <is>
          <t>ÖRNEK — silin</t>
        </is>
      </c>
      <c r="N17">
        <f>IF(OR(A17="",C17="",D17="",L17="İptal"),"",IFERROR(INT(A17)*100000+ROUND(C17*1440,0)*10+MATCH(D17,Sahalar,0),""))</f>
        <v/>
      </c>
    </row>
    <row r="18">
      <c r="A18" s="16">
        <f>TODAY()-WEEKDAY(TODAY(),2)+1+6</f>
        <v/>
      </c>
      <c r="B18" s="17">
        <f>IF(A18="","",CHOOSE(WEEKDAY(A18,2),"Pzt","Sal","Çar","Per","Cum","Cmt","Paz"))</f>
        <v/>
      </c>
      <c r="C18" s="18" t="n">
        <v>0.6666666666666666</v>
      </c>
      <c r="D18" s="17" t="inlineStr">
        <is>
          <t>Saha 1</t>
        </is>
      </c>
      <c r="E18" s="17" t="inlineStr">
        <is>
          <t>Aile Maçı</t>
        </is>
      </c>
      <c r="F18" s="17" t="inlineStr">
        <is>
          <t>0532 000 00 13</t>
        </is>
      </c>
      <c r="G18" s="17" t="inlineStr">
        <is>
          <t>Tek maç</t>
        </is>
      </c>
      <c r="H18" s="19">
        <f>IF(OR(A18="",C18=""),"",IF(WEEKDAY(A18,2)&gt;=6,UcretHaftaSonu,IF(OR(C18&gt;=AksamBas,C18&lt;TIME(6,0,0)),UcretAksam,UcretGunduz)))</f>
        <v/>
      </c>
      <c r="I18" s="19" t="n">
        <v>500</v>
      </c>
      <c r="J18" s="17" t="inlineStr">
        <is>
          <t>Hayır</t>
        </is>
      </c>
      <c r="K18" s="19">
        <f>IF(H18="","",IF(J18="Evet",0,H18-N(I18)))</f>
        <v/>
      </c>
      <c r="L18" s="17" t="inlineStr">
        <is>
          <t>Bekliyor</t>
        </is>
      </c>
      <c r="M18" s="20" t="inlineStr">
        <is>
          <t>ÖRNEK — silin</t>
        </is>
      </c>
      <c r="N18">
        <f>IF(OR(A18="",C18="",D18="",L18="İptal"),"",IFERROR(INT(A18)*100000+ROUND(C18*1440,0)*10+MATCH(D18,Sahalar,0),""))</f>
        <v/>
      </c>
    </row>
    <row r="19">
      <c r="A19" s="16">
        <f>TODAY()-WEEKDAY(TODAY(),2)+1+6</f>
        <v/>
      </c>
      <c r="B19" s="17">
        <f>IF(A19="","",CHOOSE(WEEKDAY(A19,2),"Pzt","Sal","Çar","Per","Cum","Cmt","Paz"))</f>
        <v/>
      </c>
      <c r="C19" s="18" t="n">
        <v>0.875</v>
      </c>
      <c r="D19" s="17" t="inlineStr">
        <is>
          <t>Saha 1</t>
        </is>
      </c>
      <c r="E19" s="17" t="inlineStr">
        <is>
          <t>Kartallar</t>
        </is>
      </c>
      <c r="F19" s="17" t="inlineStr">
        <is>
          <t>0532 000 00 01</t>
        </is>
      </c>
      <c r="G19" s="17" t="inlineStr">
        <is>
          <t>Tek maç</t>
        </is>
      </c>
      <c r="H19" s="19">
        <f>IF(OR(A19="",C19=""),"",IF(WEEKDAY(A19,2)&gt;=6,UcretHaftaSonu,IF(OR(C19&gt;=AksamBas,C19&lt;TIME(6,0,0)),UcretAksam,UcretGunduz)))</f>
        <v/>
      </c>
      <c r="I19" s="19" t="n">
        <v>500</v>
      </c>
      <c r="J19" s="17" t="inlineStr">
        <is>
          <t>Hayır</t>
        </is>
      </c>
      <c r="K19" s="19">
        <f>IF(H19="","",IF(J19="Evet",0,H19-N(I19)))</f>
        <v/>
      </c>
      <c r="L19" s="17" t="inlineStr">
        <is>
          <t>Bekliyor</t>
        </is>
      </c>
      <c r="M19" s="20" t="inlineStr">
        <is>
          <t>ÖRNEK — silin</t>
        </is>
      </c>
      <c r="N19">
        <f>IF(OR(A19="",C19="",D19="",L19="İptal"),"",IFERROR(INT(A19)*100000+ROUND(C19*1440,0)*10+MATCH(D19,Sahalar,0),""))</f>
        <v/>
      </c>
    </row>
    <row r="20">
      <c r="A20" s="16" t="n"/>
      <c r="B20" s="17">
        <f>IF(A20="","",CHOOSE(WEEKDAY(A20,2),"Pzt","Sal","Çar","Per","Cum","Cmt","Paz"))</f>
        <v/>
      </c>
      <c r="C20" s="18" t="n"/>
      <c r="D20" s="17" t="n"/>
      <c r="E20" s="17" t="n"/>
      <c r="F20" s="17" t="n"/>
      <c r="G20" s="17" t="n"/>
      <c r="H20" s="19">
        <f>IF(OR(A20="",C20=""),"",IF(WEEKDAY(A20,2)&gt;=6,UcretHaftaSonu,IF(OR(C20&gt;=AksamBas,C20&lt;TIME(6,0,0)),UcretAksam,UcretGunduz)))</f>
        <v/>
      </c>
      <c r="I20" s="19" t="n"/>
      <c r="J20" s="17" t="n"/>
      <c r="K20" s="19">
        <f>IF(H20="","",IF(J20="Evet",0,H20-N(I20)))</f>
        <v/>
      </c>
      <c r="L20" s="17" t="n"/>
      <c r="M20" s="17" t="n"/>
      <c r="N20">
        <f>IF(OR(A20="",C20="",D20="",L20="İptal"),"",IFERROR(INT(A20)*100000+ROUND(C20*1440,0)*10+MATCH(D20,Sahalar,0),""))</f>
        <v/>
      </c>
    </row>
    <row r="21">
      <c r="A21" s="16" t="n"/>
      <c r="B21" s="17">
        <f>IF(A21="","",CHOOSE(WEEKDAY(A21,2),"Pzt","Sal","Çar","Per","Cum","Cmt","Paz"))</f>
        <v/>
      </c>
      <c r="C21" s="18" t="n"/>
      <c r="D21" s="17" t="n"/>
      <c r="E21" s="17" t="n"/>
      <c r="F21" s="17" t="n"/>
      <c r="G21" s="17" t="n"/>
      <c r="H21" s="19">
        <f>IF(OR(A21="",C21=""),"",IF(WEEKDAY(A21,2)&gt;=6,UcretHaftaSonu,IF(OR(C21&gt;=AksamBas,C21&lt;TIME(6,0,0)),UcretAksam,UcretGunduz)))</f>
        <v/>
      </c>
      <c r="I21" s="19" t="n"/>
      <c r="J21" s="17" t="n"/>
      <c r="K21" s="19">
        <f>IF(H21="","",IF(J21="Evet",0,H21-N(I21)))</f>
        <v/>
      </c>
      <c r="L21" s="17" t="n"/>
      <c r="M21" s="17" t="n"/>
      <c r="N21">
        <f>IF(OR(A21="",C21="",D21="",L21="İptal"),"",IFERROR(INT(A21)*100000+ROUND(C21*1440,0)*10+MATCH(D21,Sahalar,0),""))</f>
        <v/>
      </c>
    </row>
    <row r="22">
      <c r="A22" s="16" t="n"/>
      <c r="B22" s="17">
        <f>IF(A22="","",CHOOSE(WEEKDAY(A22,2),"Pzt","Sal","Çar","Per","Cum","Cmt","Paz"))</f>
        <v/>
      </c>
      <c r="C22" s="18" t="n"/>
      <c r="D22" s="17" t="n"/>
      <c r="E22" s="17" t="n"/>
      <c r="F22" s="17" t="n"/>
      <c r="G22" s="17" t="n"/>
      <c r="H22" s="19">
        <f>IF(OR(A22="",C22=""),"",IF(WEEKDAY(A22,2)&gt;=6,UcretHaftaSonu,IF(OR(C22&gt;=AksamBas,C22&lt;TIME(6,0,0)),UcretAksam,UcretGunduz)))</f>
        <v/>
      </c>
      <c r="I22" s="19" t="n"/>
      <c r="J22" s="17" t="n"/>
      <c r="K22" s="19">
        <f>IF(H22="","",IF(J22="Evet",0,H22-N(I22)))</f>
        <v/>
      </c>
      <c r="L22" s="17" t="n"/>
      <c r="M22" s="17" t="n"/>
      <c r="N22">
        <f>IF(OR(A22="",C22="",D22="",L22="İptal"),"",IFERROR(INT(A22)*100000+ROUND(C22*1440,0)*10+MATCH(D22,Sahalar,0),""))</f>
        <v/>
      </c>
    </row>
    <row r="23">
      <c r="A23" s="16" t="n"/>
      <c r="B23" s="17">
        <f>IF(A23="","",CHOOSE(WEEKDAY(A23,2),"Pzt","Sal","Çar","Per","Cum","Cmt","Paz"))</f>
        <v/>
      </c>
      <c r="C23" s="18" t="n"/>
      <c r="D23" s="17" t="n"/>
      <c r="E23" s="17" t="n"/>
      <c r="F23" s="17" t="n"/>
      <c r="G23" s="17" t="n"/>
      <c r="H23" s="19">
        <f>IF(OR(A23="",C23=""),"",IF(WEEKDAY(A23,2)&gt;=6,UcretHaftaSonu,IF(OR(C23&gt;=AksamBas,C23&lt;TIME(6,0,0)),UcretAksam,UcretGunduz)))</f>
        <v/>
      </c>
      <c r="I23" s="19" t="n"/>
      <c r="J23" s="17" t="n"/>
      <c r="K23" s="19">
        <f>IF(H23="","",IF(J23="Evet",0,H23-N(I23)))</f>
        <v/>
      </c>
      <c r="L23" s="17" t="n"/>
      <c r="M23" s="17" t="n"/>
      <c r="N23">
        <f>IF(OR(A23="",C23="",D23="",L23="İptal"),"",IFERROR(INT(A23)*100000+ROUND(C23*1440,0)*10+MATCH(D23,Sahalar,0),""))</f>
        <v/>
      </c>
    </row>
    <row r="24">
      <c r="A24" s="16" t="n"/>
      <c r="B24" s="17">
        <f>IF(A24="","",CHOOSE(WEEKDAY(A24,2),"Pzt","Sal","Çar","Per","Cum","Cmt","Paz"))</f>
        <v/>
      </c>
      <c r="C24" s="18" t="n"/>
      <c r="D24" s="17" t="n"/>
      <c r="E24" s="17" t="n"/>
      <c r="F24" s="17" t="n"/>
      <c r="G24" s="17" t="n"/>
      <c r="H24" s="19">
        <f>IF(OR(A24="",C24=""),"",IF(WEEKDAY(A24,2)&gt;=6,UcretHaftaSonu,IF(OR(C24&gt;=AksamBas,C24&lt;TIME(6,0,0)),UcretAksam,UcretGunduz)))</f>
        <v/>
      </c>
      <c r="I24" s="19" t="n"/>
      <c r="J24" s="17" t="n"/>
      <c r="K24" s="19">
        <f>IF(H24="","",IF(J24="Evet",0,H24-N(I24)))</f>
        <v/>
      </c>
      <c r="L24" s="17" t="n"/>
      <c r="M24" s="17" t="n"/>
      <c r="N24">
        <f>IF(OR(A24="",C24="",D24="",L24="İptal"),"",IFERROR(INT(A24)*100000+ROUND(C24*1440,0)*10+MATCH(D24,Sahalar,0),""))</f>
        <v/>
      </c>
    </row>
    <row r="25">
      <c r="A25" s="16" t="n"/>
      <c r="B25" s="17">
        <f>IF(A25="","",CHOOSE(WEEKDAY(A25,2),"Pzt","Sal","Çar","Per","Cum","Cmt","Paz"))</f>
        <v/>
      </c>
      <c r="C25" s="18" t="n"/>
      <c r="D25" s="17" t="n"/>
      <c r="E25" s="17" t="n"/>
      <c r="F25" s="17" t="n"/>
      <c r="G25" s="17" t="n"/>
      <c r="H25" s="19">
        <f>IF(OR(A25="",C25=""),"",IF(WEEKDAY(A25,2)&gt;=6,UcretHaftaSonu,IF(OR(C25&gt;=AksamBas,C25&lt;TIME(6,0,0)),UcretAksam,UcretGunduz)))</f>
        <v/>
      </c>
      <c r="I25" s="19" t="n"/>
      <c r="J25" s="17" t="n"/>
      <c r="K25" s="19">
        <f>IF(H25="","",IF(J25="Evet",0,H25-N(I25)))</f>
        <v/>
      </c>
      <c r="L25" s="17" t="n"/>
      <c r="M25" s="17" t="n"/>
      <c r="N25">
        <f>IF(OR(A25="",C25="",D25="",L25="İptal"),"",IFERROR(INT(A25)*100000+ROUND(C25*1440,0)*10+MATCH(D25,Sahalar,0),""))</f>
        <v/>
      </c>
    </row>
    <row r="26">
      <c r="A26" s="16" t="n"/>
      <c r="B26" s="17">
        <f>IF(A26="","",CHOOSE(WEEKDAY(A26,2),"Pzt","Sal","Çar","Per","Cum","Cmt","Paz"))</f>
        <v/>
      </c>
      <c r="C26" s="18" t="n"/>
      <c r="D26" s="17" t="n"/>
      <c r="E26" s="17" t="n"/>
      <c r="F26" s="17" t="n"/>
      <c r="G26" s="17" t="n"/>
      <c r="H26" s="19">
        <f>IF(OR(A26="",C26=""),"",IF(WEEKDAY(A26,2)&gt;=6,UcretHaftaSonu,IF(OR(C26&gt;=AksamBas,C26&lt;TIME(6,0,0)),UcretAksam,UcretGunduz)))</f>
        <v/>
      </c>
      <c r="I26" s="19" t="n"/>
      <c r="J26" s="17" t="n"/>
      <c r="K26" s="19">
        <f>IF(H26="","",IF(J26="Evet",0,H26-N(I26)))</f>
        <v/>
      </c>
      <c r="L26" s="17" t="n"/>
      <c r="M26" s="17" t="n"/>
      <c r="N26">
        <f>IF(OR(A26="",C26="",D26="",L26="İptal"),"",IFERROR(INT(A26)*100000+ROUND(C26*1440,0)*10+MATCH(D26,Sahalar,0),""))</f>
        <v/>
      </c>
    </row>
    <row r="27">
      <c r="A27" s="16" t="n"/>
      <c r="B27" s="17">
        <f>IF(A27="","",CHOOSE(WEEKDAY(A27,2),"Pzt","Sal","Çar","Per","Cum","Cmt","Paz"))</f>
        <v/>
      </c>
      <c r="C27" s="18" t="n"/>
      <c r="D27" s="17" t="n"/>
      <c r="E27" s="17" t="n"/>
      <c r="F27" s="17" t="n"/>
      <c r="G27" s="17" t="n"/>
      <c r="H27" s="19">
        <f>IF(OR(A27="",C27=""),"",IF(WEEKDAY(A27,2)&gt;=6,UcretHaftaSonu,IF(OR(C27&gt;=AksamBas,C27&lt;TIME(6,0,0)),UcretAksam,UcretGunduz)))</f>
        <v/>
      </c>
      <c r="I27" s="19" t="n"/>
      <c r="J27" s="17" t="n"/>
      <c r="K27" s="19">
        <f>IF(H27="","",IF(J27="Evet",0,H27-N(I27)))</f>
        <v/>
      </c>
      <c r="L27" s="17" t="n"/>
      <c r="M27" s="17" t="n"/>
      <c r="N27">
        <f>IF(OR(A27="",C27="",D27="",L27="İptal"),"",IFERROR(INT(A27)*100000+ROUND(C27*1440,0)*10+MATCH(D27,Sahalar,0),""))</f>
        <v/>
      </c>
    </row>
    <row r="28">
      <c r="A28" s="16" t="n"/>
      <c r="B28" s="17">
        <f>IF(A28="","",CHOOSE(WEEKDAY(A28,2),"Pzt","Sal","Çar","Per","Cum","Cmt","Paz"))</f>
        <v/>
      </c>
      <c r="C28" s="18" t="n"/>
      <c r="D28" s="17" t="n"/>
      <c r="E28" s="17" t="n"/>
      <c r="F28" s="17" t="n"/>
      <c r="G28" s="17" t="n"/>
      <c r="H28" s="19">
        <f>IF(OR(A28="",C28=""),"",IF(WEEKDAY(A28,2)&gt;=6,UcretHaftaSonu,IF(OR(C28&gt;=AksamBas,C28&lt;TIME(6,0,0)),UcretAksam,UcretGunduz)))</f>
        <v/>
      </c>
      <c r="I28" s="19" t="n"/>
      <c r="J28" s="17" t="n"/>
      <c r="K28" s="19">
        <f>IF(H28="","",IF(J28="Evet",0,H28-N(I28)))</f>
        <v/>
      </c>
      <c r="L28" s="17" t="n"/>
      <c r="M28" s="17" t="n"/>
      <c r="N28">
        <f>IF(OR(A28="",C28="",D28="",L28="İptal"),"",IFERROR(INT(A28)*100000+ROUND(C28*1440,0)*10+MATCH(D28,Sahalar,0),""))</f>
        <v/>
      </c>
    </row>
    <row r="29">
      <c r="A29" s="16" t="n"/>
      <c r="B29" s="17">
        <f>IF(A29="","",CHOOSE(WEEKDAY(A29,2),"Pzt","Sal","Çar","Per","Cum","Cmt","Paz"))</f>
        <v/>
      </c>
      <c r="C29" s="18" t="n"/>
      <c r="D29" s="17" t="n"/>
      <c r="E29" s="17" t="n"/>
      <c r="F29" s="17" t="n"/>
      <c r="G29" s="17" t="n"/>
      <c r="H29" s="19">
        <f>IF(OR(A29="",C29=""),"",IF(WEEKDAY(A29,2)&gt;=6,UcretHaftaSonu,IF(OR(C29&gt;=AksamBas,C29&lt;TIME(6,0,0)),UcretAksam,UcretGunduz)))</f>
        <v/>
      </c>
      <c r="I29" s="19" t="n"/>
      <c r="J29" s="17" t="n"/>
      <c r="K29" s="19">
        <f>IF(H29="","",IF(J29="Evet",0,H29-N(I29)))</f>
        <v/>
      </c>
      <c r="L29" s="17" t="n"/>
      <c r="M29" s="17" t="n"/>
      <c r="N29">
        <f>IF(OR(A29="",C29="",D29="",L29="İptal"),"",IFERROR(INT(A29)*100000+ROUND(C29*1440,0)*10+MATCH(D29,Sahalar,0),""))</f>
        <v/>
      </c>
    </row>
    <row r="30">
      <c r="A30" s="16" t="n"/>
      <c r="B30" s="17">
        <f>IF(A30="","",CHOOSE(WEEKDAY(A30,2),"Pzt","Sal","Çar","Per","Cum","Cmt","Paz"))</f>
        <v/>
      </c>
      <c r="C30" s="18" t="n"/>
      <c r="D30" s="17" t="n"/>
      <c r="E30" s="17" t="n"/>
      <c r="F30" s="17" t="n"/>
      <c r="G30" s="17" t="n"/>
      <c r="H30" s="19">
        <f>IF(OR(A30="",C30=""),"",IF(WEEKDAY(A30,2)&gt;=6,UcretHaftaSonu,IF(OR(C30&gt;=AksamBas,C30&lt;TIME(6,0,0)),UcretAksam,UcretGunduz)))</f>
        <v/>
      </c>
      <c r="I30" s="19" t="n"/>
      <c r="J30" s="17" t="n"/>
      <c r="K30" s="19">
        <f>IF(H30="","",IF(J30="Evet",0,H30-N(I30)))</f>
        <v/>
      </c>
      <c r="L30" s="17" t="n"/>
      <c r="M30" s="17" t="n"/>
      <c r="N30">
        <f>IF(OR(A30="",C30="",D30="",L30="İptal"),"",IFERROR(INT(A30)*100000+ROUND(C30*1440,0)*10+MATCH(D30,Sahalar,0),""))</f>
        <v/>
      </c>
    </row>
    <row r="31">
      <c r="A31" s="16" t="n"/>
      <c r="B31" s="17">
        <f>IF(A31="","",CHOOSE(WEEKDAY(A31,2),"Pzt","Sal","Çar","Per","Cum","Cmt","Paz"))</f>
        <v/>
      </c>
      <c r="C31" s="18" t="n"/>
      <c r="D31" s="17" t="n"/>
      <c r="E31" s="17" t="n"/>
      <c r="F31" s="17" t="n"/>
      <c r="G31" s="17" t="n"/>
      <c r="H31" s="19">
        <f>IF(OR(A31="",C31=""),"",IF(WEEKDAY(A31,2)&gt;=6,UcretHaftaSonu,IF(OR(C31&gt;=AksamBas,C31&lt;TIME(6,0,0)),UcretAksam,UcretGunduz)))</f>
        <v/>
      </c>
      <c r="I31" s="19" t="n"/>
      <c r="J31" s="17" t="n"/>
      <c r="K31" s="19">
        <f>IF(H31="","",IF(J31="Evet",0,H31-N(I31)))</f>
        <v/>
      </c>
      <c r="L31" s="17" t="n"/>
      <c r="M31" s="17" t="n"/>
      <c r="N31">
        <f>IF(OR(A31="",C31="",D31="",L31="İptal"),"",IFERROR(INT(A31)*100000+ROUND(C31*1440,0)*10+MATCH(D31,Sahalar,0),""))</f>
        <v/>
      </c>
    </row>
    <row r="32">
      <c r="A32" s="16" t="n"/>
      <c r="B32" s="17">
        <f>IF(A32="","",CHOOSE(WEEKDAY(A32,2),"Pzt","Sal","Çar","Per","Cum","Cmt","Paz"))</f>
        <v/>
      </c>
      <c r="C32" s="18" t="n"/>
      <c r="D32" s="17" t="n"/>
      <c r="E32" s="17" t="n"/>
      <c r="F32" s="17" t="n"/>
      <c r="G32" s="17" t="n"/>
      <c r="H32" s="19">
        <f>IF(OR(A32="",C32=""),"",IF(WEEKDAY(A32,2)&gt;=6,UcretHaftaSonu,IF(OR(C32&gt;=AksamBas,C32&lt;TIME(6,0,0)),UcretAksam,UcretGunduz)))</f>
        <v/>
      </c>
      <c r="I32" s="19" t="n"/>
      <c r="J32" s="17" t="n"/>
      <c r="K32" s="19">
        <f>IF(H32="","",IF(J32="Evet",0,H32-N(I32)))</f>
        <v/>
      </c>
      <c r="L32" s="17" t="n"/>
      <c r="M32" s="17" t="n"/>
      <c r="N32">
        <f>IF(OR(A32="",C32="",D32="",L32="İptal"),"",IFERROR(INT(A32)*100000+ROUND(C32*1440,0)*10+MATCH(D32,Sahalar,0),""))</f>
        <v/>
      </c>
    </row>
    <row r="33">
      <c r="A33" s="16" t="n"/>
      <c r="B33" s="17">
        <f>IF(A33="","",CHOOSE(WEEKDAY(A33,2),"Pzt","Sal","Çar","Per","Cum","Cmt","Paz"))</f>
        <v/>
      </c>
      <c r="C33" s="18" t="n"/>
      <c r="D33" s="17" t="n"/>
      <c r="E33" s="17" t="n"/>
      <c r="F33" s="17" t="n"/>
      <c r="G33" s="17" t="n"/>
      <c r="H33" s="19">
        <f>IF(OR(A33="",C33=""),"",IF(WEEKDAY(A33,2)&gt;=6,UcretHaftaSonu,IF(OR(C33&gt;=AksamBas,C33&lt;TIME(6,0,0)),UcretAksam,UcretGunduz)))</f>
        <v/>
      </c>
      <c r="I33" s="19" t="n"/>
      <c r="J33" s="17" t="n"/>
      <c r="K33" s="19">
        <f>IF(H33="","",IF(J33="Evet",0,H33-N(I33)))</f>
        <v/>
      </c>
      <c r="L33" s="17" t="n"/>
      <c r="M33" s="17" t="n"/>
      <c r="N33">
        <f>IF(OR(A33="",C33="",D33="",L33="İptal"),"",IFERROR(INT(A33)*100000+ROUND(C33*1440,0)*10+MATCH(D33,Sahalar,0),""))</f>
        <v/>
      </c>
    </row>
    <row r="34">
      <c r="A34" s="16" t="n"/>
      <c r="B34" s="17">
        <f>IF(A34="","",CHOOSE(WEEKDAY(A34,2),"Pzt","Sal","Çar","Per","Cum","Cmt","Paz"))</f>
        <v/>
      </c>
      <c r="C34" s="18" t="n"/>
      <c r="D34" s="17" t="n"/>
      <c r="E34" s="17" t="n"/>
      <c r="F34" s="17" t="n"/>
      <c r="G34" s="17" t="n"/>
      <c r="H34" s="19">
        <f>IF(OR(A34="",C34=""),"",IF(WEEKDAY(A34,2)&gt;=6,UcretHaftaSonu,IF(OR(C34&gt;=AksamBas,C34&lt;TIME(6,0,0)),UcretAksam,UcretGunduz)))</f>
        <v/>
      </c>
      <c r="I34" s="19" t="n"/>
      <c r="J34" s="17" t="n"/>
      <c r="K34" s="19">
        <f>IF(H34="","",IF(J34="Evet",0,H34-N(I34)))</f>
        <v/>
      </c>
      <c r="L34" s="17" t="n"/>
      <c r="M34" s="17" t="n"/>
      <c r="N34">
        <f>IF(OR(A34="",C34="",D34="",L34="İptal"),"",IFERROR(INT(A34)*100000+ROUND(C34*1440,0)*10+MATCH(D34,Sahalar,0),""))</f>
        <v/>
      </c>
    </row>
    <row r="35">
      <c r="A35" s="16" t="n"/>
      <c r="B35" s="17">
        <f>IF(A35="","",CHOOSE(WEEKDAY(A35,2),"Pzt","Sal","Çar","Per","Cum","Cmt","Paz"))</f>
        <v/>
      </c>
      <c r="C35" s="18" t="n"/>
      <c r="D35" s="17" t="n"/>
      <c r="E35" s="17" t="n"/>
      <c r="F35" s="17" t="n"/>
      <c r="G35" s="17" t="n"/>
      <c r="H35" s="19">
        <f>IF(OR(A35="",C35=""),"",IF(WEEKDAY(A35,2)&gt;=6,UcretHaftaSonu,IF(OR(C35&gt;=AksamBas,C35&lt;TIME(6,0,0)),UcretAksam,UcretGunduz)))</f>
        <v/>
      </c>
      <c r="I35" s="19" t="n"/>
      <c r="J35" s="17" t="n"/>
      <c r="K35" s="19">
        <f>IF(H35="","",IF(J35="Evet",0,H35-N(I35)))</f>
        <v/>
      </c>
      <c r="L35" s="17" t="n"/>
      <c r="M35" s="17" t="n"/>
      <c r="N35">
        <f>IF(OR(A35="",C35="",D35="",L35="İptal"),"",IFERROR(INT(A35)*100000+ROUND(C35*1440,0)*10+MATCH(D35,Sahalar,0),""))</f>
        <v/>
      </c>
    </row>
    <row r="36">
      <c r="A36" s="16" t="n"/>
      <c r="B36" s="17">
        <f>IF(A36="","",CHOOSE(WEEKDAY(A36,2),"Pzt","Sal","Çar","Per","Cum","Cmt","Paz"))</f>
        <v/>
      </c>
      <c r="C36" s="18" t="n"/>
      <c r="D36" s="17" t="n"/>
      <c r="E36" s="17" t="n"/>
      <c r="F36" s="17" t="n"/>
      <c r="G36" s="17" t="n"/>
      <c r="H36" s="19">
        <f>IF(OR(A36="",C36=""),"",IF(WEEKDAY(A36,2)&gt;=6,UcretHaftaSonu,IF(OR(C36&gt;=AksamBas,C36&lt;TIME(6,0,0)),UcretAksam,UcretGunduz)))</f>
        <v/>
      </c>
      <c r="I36" s="19" t="n"/>
      <c r="J36" s="17" t="n"/>
      <c r="K36" s="19">
        <f>IF(H36="","",IF(J36="Evet",0,H36-N(I36)))</f>
        <v/>
      </c>
      <c r="L36" s="17" t="n"/>
      <c r="M36" s="17" t="n"/>
      <c r="N36">
        <f>IF(OR(A36="",C36="",D36="",L36="İptal"),"",IFERROR(INT(A36)*100000+ROUND(C36*1440,0)*10+MATCH(D36,Sahalar,0),""))</f>
        <v/>
      </c>
    </row>
    <row r="37">
      <c r="A37" s="16" t="n"/>
      <c r="B37" s="17">
        <f>IF(A37="","",CHOOSE(WEEKDAY(A37,2),"Pzt","Sal","Çar","Per","Cum","Cmt","Paz"))</f>
        <v/>
      </c>
      <c r="C37" s="18" t="n"/>
      <c r="D37" s="17" t="n"/>
      <c r="E37" s="17" t="n"/>
      <c r="F37" s="17" t="n"/>
      <c r="G37" s="17" t="n"/>
      <c r="H37" s="19">
        <f>IF(OR(A37="",C37=""),"",IF(WEEKDAY(A37,2)&gt;=6,UcretHaftaSonu,IF(OR(C37&gt;=AksamBas,C37&lt;TIME(6,0,0)),UcretAksam,UcretGunduz)))</f>
        <v/>
      </c>
      <c r="I37" s="19" t="n"/>
      <c r="J37" s="17" t="n"/>
      <c r="K37" s="19">
        <f>IF(H37="","",IF(J37="Evet",0,H37-N(I37)))</f>
        <v/>
      </c>
      <c r="L37" s="17" t="n"/>
      <c r="M37" s="17" t="n"/>
      <c r="N37">
        <f>IF(OR(A37="",C37="",D37="",L37="İptal"),"",IFERROR(INT(A37)*100000+ROUND(C37*1440,0)*10+MATCH(D37,Sahalar,0),""))</f>
        <v/>
      </c>
    </row>
    <row r="38">
      <c r="A38" s="16" t="n"/>
      <c r="B38" s="17">
        <f>IF(A38="","",CHOOSE(WEEKDAY(A38,2),"Pzt","Sal","Çar","Per","Cum","Cmt","Paz"))</f>
        <v/>
      </c>
      <c r="C38" s="18" t="n"/>
      <c r="D38" s="17" t="n"/>
      <c r="E38" s="17" t="n"/>
      <c r="F38" s="17" t="n"/>
      <c r="G38" s="17" t="n"/>
      <c r="H38" s="19">
        <f>IF(OR(A38="",C38=""),"",IF(WEEKDAY(A38,2)&gt;=6,UcretHaftaSonu,IF(OR(C38&gt;=AksamBas,C38&lt;TIME(6,0,0)),UcretAksam,UcretGunduz)))</f>
        <v/>
      </c>
      <c r="I38" s="19" t="n"/>
      <c r="J38" s="17" t="n"/>
      <c r="K38" s="19">
        <f>IF(H38="","",IF(J38="Evet",0,H38-N(I38)))</f>
        <v/>
      </c>
      <c r="L38" s="17" t="n"/>
      <c r="M38" s="17" t="n"/>
      <c r="N38">
        <f>IF(OR(A38="",C38="",D38="",L38="İptal"),"",IFERROR(INT(A38)*100000+ROUND(C38*1440,0)*10+MATCH(D38,Sahalar,0),""))</f>
        <v/>
      </c>
    </row>
    <row r="39">
      <c r="A39" s="16" t="n"/>
      <c r="B39" s="17">
        <f>IF(A39="","",CHOOSE(WEEKDAY(A39,2),"Pzt","Sal","Çar","Per","Cum","Cmt","Paz"))</f>
        <v/>
      </c>
      <c r="C39" s="18" t="n"/>
      <c r="D39" s="17" t="n"/>
      <c r="E39" s="17" t="n"/>
      <c r="F39" s="17" t="n"/>
      <c r="G39" s="17" t="n"/>
      <c r="H39" s="19">
        <f>IF(OR(A39="",C39=""),"",IF(WEEKDAY(A39,2)&gt;=6,UcretHaftaSonu,IF(OR(C39&gt;=AksamBas,C39&lt;TIME(6,0,0)),UcretAksam,UcretGunduz)))</f>
        <v/>
      </c>
      <c r="I39" s="19" t="n"/>
      <c r="J39" s="17" t="n"/>
      <c r="K39" s="19">
        <f>IF(H39="","",IF(J39="Evet",0,H39-N(I39)))</f>
        <v/>
      </c>
      <c r="L39" s="17" t="n"/>
      <c r="M39" s="17" t="n"/>
      <c r="N39">
        <f>IF(OR(A39="",C39="",D39="",L39="İptal"),"",IFERROR(INT(A39)*100000+ROUND(C39*1440,0)*10+MATCH(D39,Sahalar,0),""))</f>
        <v/>
      </c>
    </row>
    <row r="40">
      <c r="A40" s="16" t="n"/>
      <c r="B40" s="17">
        <f>IF(A40="","",CHOOSE(WEEKDAY(A40,2),"Pzt","Sal","Çar","Per","Cum","Cmt","Paz"))</f>
        <v/>
      </c>
      <c r="C40" s="18" t="n"/>
      <c r="D40" s="17" t="n"/>
      <c r="E40" s="17" t="n"/>
      <c r="F40" s="17" t="n"/>
      <c r="G40" s="17" t="n"/>
      <c r="H40" s="19">
        <f>IF(OR(A40="",C40=""),"",IF(WEEKDAY(A40,2)&gt;=6,UcretHaftaSonu,IF(OR(C40&gt;=AksamBas,C40&lt;TIME(6,0,0)),UcretAksam,UcretGunduz)))</f>
        <v/>
      </c>
      <c r="I40" s="19" t="n"/>
      <c r="J40" s="17" t="n"/>
      <c r="K40" s="19">
        <f>IF(H40="","",IF(J40="Evet",0,H40-N(I40)))</f>
        <v/>
      </c>
      <c r="L40" s="17" t="n"/>
      <c r="M40" s="17" t="n"/>
      <c r="N40">
        <f>IF(OR(A40="",C40="",D40="",L40="İptal"),"",IFERROR(INT(A40)*100000+ROUND(C40*1440,0)*10+MATCH(D40,Sahalar,0),""))</f>
        <v/>
      </c>
    </row>
    <row r="41">
      <c r="A41" s="16" t="n"/>
      <c r="B41" s="17">
        <f>IF(A41="","",CHOOSE(WEEKDAY(A41,2),"Pzt","Sal","Çar","Per","Cum","Cmt","Paz"))</f>
        <v/>
      </c>
      <c r="C41" s="18" t="n"/>
      <c r="D41" s="17" t="n"/>
      <c r="E41" s="17" t="n"/>
      <c r="F41" s="17" t="n"/>
      <c r="G41" s="17" t="n"/>
      <c r="H41" s="19">
        <f>IF(OR(A41="",C41=""),"",IF(WEEKDAY(A41,2)&gt;=6,UcretHaftaSonu,IF(OR(C41&gt;=AksamBas,C41&lt;TIME(6,0,0)),UcretAksam,UcretGunduz)))</f>
        <v/>
      </c>
      <c r="I41" s="19" t="n"/>
      <c r="J41" s="17" t="n"/>
      <c r="K41" s="19">
        <f>IF(H41="","",IF(J41="Evet",0,H41-N(I41)))</f>
        <v/>
      </c>
      <c r="L41" s="17" t="n"/>
      <c r="M41" s="17" t="n"/>
      <c r="N41">
        <f>IF(OR(A41="",C41="",D41="",L41="İptal"),"",IFERROR(INT(A41)*100000+ROUND(C41*1440,0)*10+MATCH(D41,Sahalar,0),""))</f>
        <v/>
      </c>
    </row>
    <row r="42">
      <c r="A42" s="16" t="n"/>
      <c r="B42" s="17">
        <f>IF(A42="","",CHOOSE(WEEKDAY(A42,2),"Pzt","Sal","Çar","Per","Cum","Cmt","Paz"))</f>
        <v/>
      </c>
      <c r="C42" s="18" t="n"/>
      <c r="D42" s="17" t="n"/>
      <c r="E42" s="17" t="n"/>
      <c r="F42" s="17" t="n"/>
      <c r="G42" s="17" t="n"/>
      <c r="H42" s="19">
        <f>IF(OR(A42="",C42=""),"",IF(WEEKDAY(A42,2)&gt;=6,UcretHaftaSonu,IF(OR(C42&gt;=AksamBas,C42&lt;TIME(6,0,0)),UcretAksam,UcretGunduz)))</f>
        <v/>
      </c>
      <c r="I42" s="19" t="n"/>
      <c r="J42" s="17" t="n"/>
      <c r="K42" s="19">
        <f>IF(H42="","",IF(J42="Evet",0,H42-N(I42)))</f>
        <v/>
      </c>
      <c r="L42" s="17" t="n"/>
      <c r="M42" s="17" t="n"/>
      <c r="N42">
        <f>IF(OR(A42="",C42="",D42="",L42="İptal"),"",IFERROR(INT(A42)*100000+ROUND(C42*1440,0)*10+MATCH(D42,Sahalar,0),""))</f>
        <v/>
      </c>
    </row>
    <row r="43">
      <c r="A43" s="16" t="n"/>
      <c r="B43" s="17">
        <f>IF(A43="","",CHOOSE(WEEKDAY(A43,2),"Pzt","Sal","Çar","Per","Cum","Cmt","Paz"))</f>
        <v/>
      </c>
      <c r="C43" s="18" t="n"/>
      <c r="D43" s="17" t="n"/>
      <c r="E43" s="17" t="n"/>
      <c r="F43" s="17" t="n"/>
      <c r="G43" s="17" t="n"/>
      <c r="H43" s="19">
        <f>IF(OR(A43="",C43=""),"",IF(WEEKDAY(A43,2)&gt;=6,UcretHaftaSonu,IF(OR(C43&gt;=AksamBas,C43&lt;TIME(6,0,0)),UcretAksam,UcretGunduz)))</f>
        <v/>
      </c>
      <c r="I43" s="19" t="n"/>
      <c r="J43" s="17" t="n"/>
      <c r="K43" s="19">
        <f>IF(H43="","",IF(J43="Evet",0,H43-N(I43)))</f>
        <v/>
      </c>
      <c r="L43" s="17" t="n"/>
      <c r="M43" s="17" t="n"/>
      <c r="N43">
        <f>IF(OR(A43="",C43="",D43="",L43="İptal"),"",IFERROR(INT(A43)*100000+ROUND(C43*1440,0)*10+MATCH(D43,Sahalar,0),""))</f>
        <v/>
      </c>
    </row>
    <row r="44">
      <c r="A44" s="16" t="n"/>
      <c r="B44" s="17">
        <f>IF(A44="","",CHOOSE(WEEKDAY(A44,2),"Pzt","Sal","Çar","Per","Cum","Cmt","Paz"))</f>
        <v/>
      </c>
      <c r="C44" s="18" t="n"/>
      <c r="D44" s="17" t="n"/>
      <c r="E44" s="17" t="n"/>
      <c r="F44" s="17" t="n"/>
      <c r="G44" s="17" t="n"/>
      <c r="H44" s="19">
        <f>IF(OR(A44="",C44=""),"",IF(WEEKDAY(A44,2)&gt;=6,UcretHaftaSonu,IF(OR(C44&gt;=AksamBas,C44&lt;TIME(6,0,0)),UcretAksam,UcretGunduz)))</f>
        <v/>
      </c>
      <c r="I44" s="19" t="n"/>
      <c r="J44" s="17" t="n"/>
      <c r="K44" s="19">
        <f>IF(H44="","",IF(J44="Evet",0,H44-N(I44)))</f>
        <v/>
      </c>
      <c r="L44" s="17" t="n"/>
      <c r="M44" s="17" t="n"/>
      <c r="N44">
        <f>IF(OR(A44="",C44="",D44="",L44="İptal"),"",IFERROR(INT(A44)*100000+ROUND(C44*1440,0)*10+MATCH(D44,Sahalar,0),""))</f>
        <v/>
      </c>
    </row>
    <row r="45">
      <c r="A45" s="16" t="n"/>
      <c r="B45" s="17">
        <f>IF(A45="","",CHOOSE(WEEKDAY(A45,2),"Pzt","Sal","Çar","Per","Cum","Cmt","Paz"))</f>
        <v/>
      </c>
      <c r="C45" s="18" t="n"/>
      <c r="D45" s="17" t="n"/>
      <c r="E45" s="17" t="n"/>
      <c r="F45" s="17" t="n"/>
      <c r="G45" s="17" t="n"/>
      <c r="H45" s="19">
        <f>IF(OR(A45="",C45=""),"",IF(WEEKDAY(A45,2)&gt;=6,UcretHaftaSonu,IF(OR(C45&gt;=AksamBas,C45&lt;TIME(6,0,0)),UcretAksam,UcretGunduz)))</f>
        <v/>
      </c>
      <c r="I45" s="19" t="n"/>
      <c r="J45" s="17" t="n"/>
      <c r="K45" s="19">
        <f>IF(H45="","",IF(J45="Evet",0,H45-N(I45)))</f>
        <v/>
      </c>
      <c r="L45" s="17" t="n"/>
      <c r="M45" s="17" t="n"/>
      <c r="N45">
        <f>IF(OR(A45="",C45="",D45="",L45="İptal"),"",IFERROR(INT(A45)*100000+ROUND(C45*1440,0)*10+MATCH(D45,Sahalar,0),""))</f>
        <v/>
      </c>
    </row>
    <row r="46">
      <c r="A46" s="16" t="n"/>
      <c r="B46" s="17">
        <f>IF(A46="","",CHOOSE(WEEKDAY(A46,2),"Pzt","Sal","Çar","Per","Cum","Cmt","Paz"))</f>
        <v/>
      </c>
      <c r="C46" s="18" t="n"/>
      <c r="D46" s="17" t="n"/>
      <c r="E46" s="17" t="n"/>
      <c r="F46" s="17" t="n"/>
      <c r="G46" s="17" t="n"/>
      <c r="H46" s="19">
        <f>IF(OR(A46="",C46=""),"",IF(WEEKDAY(A46,2)&gt;=6,UcretHaftaSonu,IF(OR(C46&gt;=AksamBas,C46&lt;TIME(6,0,0)),UcretAksam,UcretGunduz)))</f>
        <v/>
      </c>
      <c r="I46" s="19" t="n"/>
      <c r="J46" s="17" t="n"/>
      <c r="K46" s="19">
        <f>IF(H46="","",IF(J46="Evet",0,H46-N(I46)))</f>
        <v/>
      </c>
      <c r="L46" s="17" t="n"/>
      <c r="M46" s="17" t="n"/>
      <c r="N46">
        <f>IF(OR(A46="",C46="",D46="",L46="İptal"),"",IFERROR(INT(A46)*100000+ROUND(C46*1440,0)*10+MATCH(D46,Sahalar,0),""))</f>
        <v/>
      </c>
    </row>
    <row r="47">
      <c r="A47" s="16" t="n"/>
      <c r="B47" s="17">
        <f>IF(A47="","",CHOOSE(WEEKDAY(A47,2),"Pzt","Sal","Çar","Per","Cum","Cmt","Paz"))</f>
        <v/>
      </c>
      <c r="C47" s="18" t="n"/>
      <c r="D47" s="17" t="n"/>
      <c r="E47" s="17" t="n"/>
      <c r="F47" s="17" t="n"/>
      <c r="G47" s="17" t="n"/>
      <c r="H47" s="19">
        <f>IF(OR(A47="",C47=""),"",IF(WEEKDAY(A47,2)&gt;=6,UcretHaftaSonu,IF(OR(C47&gt;=AksamBas,C47&lt;TIME(6,0,0)),UcretAksam,UcretGunduz)))</f>
        <v/>
      </c>
      <c r="I47" s="19" t="n"/>
      <c r="J47" s="17" t="n"/>
      <c r="K47" s="19">
        <f>IF(H47="","",IF(J47="Evet",0,H47-N(I47)))</f>
        <v/>
      </c>
      <c r="L47" s="17" t="n"/>
      <c r="M47" s="17" t="n"/>
      <c r="N47">
        <f>IF(OR(A47="",C47="",D47="",L47="İptal"),"",IFERROR(INT(A47)*100000+ROUND(C47*1440,0)*10+MATCH(D47,Sahalar,0),""))</f>
        <v/>
      </c>
    </row>
    <row r="48">
      <c r="A48" s="16" t="n"/>
      <c r="B48" s="17">
        <f>IF(A48="","",CHOOSE(WEEKDAY(A48,2),"Pzt","Sal","Çar","Per","Cum","Cmt","Paz"))</f>
        <v/>
      </c>
      <c r="C48" s="18" t="n"/>
      <c r="D48" s="17" t="n"/>
      <c r="E48" s="17" t="n"/>
      <c r="F48" s="17" t="n"/>
      <c r="G48" s="17" t="n"/>
      <c r="H48" s="19">
        <f>IF(OR(A48="",C48=""),"",IF(WEEKDAY(A48,2)&gt;=6,UcretHaftaSonu,IF(OR(C48&gt;=AksamBas,C48&lt;TIME(6,0,0)),UcretAksam,UcretGunduz)))</f>
        <v/>
      </c>
      <c r="I48" s="19" t="n"/>
      <c r="J48" s="17" t="n"/>
      <c r="K48" s="19">
        <f>IF(H48="","",IF(J48="Evet",0,H48-N(I48)))</f>
        <v/>
      </c>
      <c r="L48" s="17" t="n"/>
      <c r="M48" s="17" t="n"/>
      <c r="N48">
        <f>IF(OR(A48="",C48="",D48="",L48="İptal"),"",IFERROR(INT(A48)*100000+ROUND(C48*1440,0)*10+MATCH(D48,Sahalar,0),""))</f>
        <v/>
      </c>
    </row>
    <row r="49">
      <c r="A49" s="16" t="n"/>
      <c r="B49" s="17">
        <f>IF(A49="","",CHOOSE(WEEKDAY(A49,2),"Pzt","Sal","Çar","Per","Cum","Cmt","Paz"))</f>
        <v/>
      </c>
      <c r="C49" s="18" t="n"/>
      <c r="D49" s="17" t="n"/>
      <c r="E49" s="17" t="n"/>
      <c r="F49" s="17" t="n"/>
      <c r="G49" s="17" t="n"/>
      <c r="H49" s="19">
        <f>IF(OR(A49="",C49=""),"",IF(WEEKDAY(A49,2)&gt;=6,UcretHaftaSonu,IF(OR(C49&gt;=AksamBas,C49&lt;TIME(6,0,0)),UcretAksam,UcretGunduz)))</f>
        <v/>
      </c>
      <c r="I49" s="19" t="n"/>
      <c r="J49" s="17" t="n"/>
      <c r="K49" s="19">
        <f>IF(H49="","",IF(J49="Evet",0,H49-N(I49)))</f>
        <v/>
      </c>
      <c r="L49" s="17" t="n"/>
      <c r="M49" s="17" t="n"/>
      <c r="N49">
        <f>IF(OR(A49="",C49="",D49="",L49="İptal"),"",IFERROR(INT(A49)*100000+ROUND(C49*1440,0)*10+MATCH(D49,Sahalar,0),""))</f>
        <v/>
      </c>
    </row>
    <row r="50">
      <c r="A50" s="16" t="n"/>
      <c r="B50" s="17">
        <f>IF(A50="","",CHOOSE(WEEKDAY(A50,2),"Pzt","Sal","Çar","Per","Cum","Cmt","Paz"))</f>
        <v/>
      </c>
      <c r="C50" s="18" t="n"/>
      <c r="D50" s="17" t="n"/>
      <c r="E50" s="17" t="n"/>
      <c r="F50" s="17" t="n"/>
      <c r="G50" s="17" t="n"/>
      <c r="H50" s="19">
        <f>IF(OR(A50="",C50=""),"",IF(WEEKDAY(A50,2)&gt;=6,UcretHaftaSonu,IF(OR(C50&gt;=AksamBas,C50&lt;TIME(6,0,0)),UcretAksam,UcretGunduz)))</f>
        <v/>
      </c>
      <c r="I50" s="19" t="n"/>
      <c r="J50" s="17" t="n"/>
      <c r="K50" s="19">
        <f>IF(H50="","",IF(J50="Evet",0,H50-N(I50)))</f>
        <v/>
      </c>
      <c r="L50" s="17" t="n"/>
      <c r="M50" s="17" t="n"/>
      <c r="N50">
        <f>IF(OR(A50="",C50="",D50="",L50="İptal"),"",IFERROR(INT(A50)*100000+ROUND(C50*1440,0)*10+MATCH(D50,Sahalar,0),""))</f>
        <v/>
      </c>
    </row>
    <row r="51">
      <c r="A51" s="16" t="n"/>
      <c r="B51" s="17">
        <f>IF(A51="","",CHOOSE(WEEKDAY(A51,2),"Pzt","Sal","Çar","Per","Cum","Cmt","Paz"))</f>
        <v/>
      </c>
      <c r="C51" s="18" t="n"/>
      <c r="D51" s="17" t="n"/>
      <c r="E51" s="17" t="n"/>
      <c r="F51" s="17" t="n"/>
      <c r="G51" s="17" t="n"/>
      <c r="H51" s="19">
        <f>IF(OR(A51="",C51=""),"",IF(WEEKDAY(A51,2)&gt;=6,UcretHaftaSonu,IF(OR(C51&gt;=AksamBas,C51&lt;TIME(6,0,0)),UcretAksam,UcretGunduz)))</f>
        <v/>
      </c>
      <c r="I51" s="19" t="n"/>
      <c r="J51" s="17" t="n"/>
      <c r="K51" s="19">
        <f>IF(H51="","",IF(J51="Evet",0,H51-N(I51)))</f>
        <v/>
      </c>
      <c r="L51" s="17" t="n"/>
      <c r="M51" s="17" t="n"/>
      <c r="N51">
        <f>IF(OR(A51="",C51="",D51="",L51="İptal"),"",IFERROR(INT(A51)*100000+ROUND(C51*1440,0)*10+MATCH(D51,Sahalar,0),""))</f>
        <v/>
      </c>
    </row>
    <row r="52">
      <c r="A52" s="16" t="n"/>
      <c r="B52" s="17">
        <f>IF(A52="","",CHOOSE(WEEKDAY(A52,2),"Pzt","Sal","Çar","Per","Cum","Cmt","Paz"))</f>
        <v/>
      </c>
      <c r="C52" s="18" t="n"/>
      <c r="D52" s="17" t="n"/>
      <c r="E52" s="17" t="n"/>
      <c r="F52" s="17" t="n"/>
      <c r="G52" s="17" t="n"/>
      <c r="H52" s="19">
        <f>IF(OR(A52="",C52=""),"",IF(WEEKDAY(A52,2)&gt;=6,UcretHaftaSonu,IF(OR(C52&gt;=AksamBas,C52&lt;TIME(6,0,0)),UcretAksam,UcretGunduz)))</f>
        <v/>
      </c>
      <c r="I52" s="19" t="n"/>
      <c r="J52" s="17" t="n"/>
      <c r="K52" s="19">
        <f>IF(H52="","",IF(J52="Evet",0,H52-N(I52)))</f>
        <v/>
      </c>
      <c r="L52" s="17" t="n"/>
      <c r="M52" s="17" t="n"/>
      <c r="N52">
        <f>IF(OR(A52="",C52="",D52="",L52="İptal"),"",IFERROR(INT(A52)*100000+ROUND(C52*1440,0)*10+MATCH(D52,Sahalar,0),""))</f>
        <v/>
      </c>
    </row>
    <row r="53">
      <c r="A53" s="16" t="n"/>
      <c r="B53" s="17">
        <f>IF(A53="","",CHOOSE(WEEKDAY(A53,2),"Pzt","Sal","Çar","Per","Cum","Cmt","Paz"))</f>
        <v/>
      </c>
      <c r="C53" s="18" t="n"/>
      <c r="D53" s="17" t="n"/>
      <c r="E53" s="17" t="n"/>
      <c r="F53" s="17" t="n"/>
      <c r="G53" s="17" t="n"/>
      <c r="H53" s="19">
        <f>IF(OR(A53="",C53=""),"",IF(WEEKDAY(A53,2)&gt;=6,UcretHaftaSonu,IF(OR(C53&gt;=AksamBas,C53&lt;TIME(6,0,0)),UcretAksam,UcretGunduz)))</f>
        <v/>
      </c>
      <c r="I53" s="19" t="n"/>
      <c r="J53" s="17" t="n"/>
      <c r="K53" s="19">
        <f>IF(H53="","",IF(J53="Evet",0,H53-N(I53)))</f>
        <v/>
      </c>
      <c r="L53" s="17" t="n"/>
      <c r="M53" s="17" t="n"/>
      <c r="N53">
        <f>IF(OR(A53="",C53="",D53="",L53="İptal"),"",IFERROR(INT(A53)*100000+ROUND(C53*1440,0)*10+MATCH(D53,Sahalar,0),""))</f>
        <v/>
      </c>
    </row>
    <row r="54">
      <c r="A54" s="16" t="n"/>
      <c r="B54" s="17">
        <f>IF(A54="","",CHOOSE(WEEKDAY(A54,2),"Pzt","Sal","Çar","Per","Cum","Cmt","Paz"))</f>
        <v/>
      </c>
      <c r="C54" s="18" t="n"/>
      <c r="D54" s="17" t="n"/>
      <c r="E54" s="17" t="n"/>
      <c r="F54" s="17" t="n"/>
      <c r="G54" s="17" t="n"/>
      <c r="H54" s="19">
        <f>IF(OR(A54="",C54=""),"",IF(WEEKDAY(A54,2)&gt;=6,UcretHaftaSonu,IF(OR(C54&gt;=AksamBas,C54&lt;TIME(6,0,0)),UcretAksam,UcretGunduz)))</f>
        <v/>
      </c>
      <c r="I54" s="19" t="n"/>
      <c r="J54" s="17" t="n"/>
      <c r="K54" s="19">
        <f>IF(H54="","",IF(J54="Evet",0,H54-N(I54)))</f>
        <v/>
      </c>
      <c r="L54" s="17" t="n"/>
      <c r="M54" s="17" t="n"/>
      <c r="N54">
        <f>IF(OR(A54="",C54="",D54="",L54="İptal"),"",IFERROR(INT(A54)*100000+ROUND(C54*1440,0)*10+MATCH(D54,Sahalar,0),""))</f>
        <v/>
      </c>
    </row>
    <row r="55">
      <c r="A55" s="16" t="n"/>
      <c r="B55" s="17">
        <f>IF(A55="","",CHOOSE(WEEKDAY(A55,2),"Pzt","Sal","Çar","Per","Cum","Cmt","Paz"))</f>
        <v/>
      </c>
      <c r="C55" s="18" t="n"/>
      <c r="D55" s="17" t="n"/>
      <c r="E55" s="17" t="n"/>
      <c r="F55" s="17" t="n"/>
      <c r="G55" s="17" t="n"/>
      <c r="H55" s="19">
        <f>IF(OR(A55="",C55=""),"",IF(WEEKDAY(A55,2)&gt;=6,UcretHaftaSonu,IF(OR(C55&gt;=AksamBas,C55&lt;TIME(6,0,0)),UcretAksam,UcretGunduz)))</f>
        <v/>
      </c>
      <c r="I55" s="19" t="n"/>
      <c r="J55" s="17" t="n"/>
      <c r="K55" s="19">
        <f>IF(H55="","",IF(J55="Evet",0,H55-N(I55)))</f>
        <v/>
      </c>
      <c r="L55" s="17" t="n"/>
      <c r="M55" s="17" t="n"/>
      <c r="N55">
        <f>IF(OR(A55="",C55="",D55="",L55="İptal"),"",IFERROR(INT(A55)*100000+ROUND(C55*1440,0)*10+MATCH(D55,Sahalar,0),""))</f>
        <v/>
      </c>
    </row>
    <row r="56">
      <c r="A56" s="16" t="n"/>
      <c r="B56" s="17">
        <f>IF(A56="","",CHOOSE(WEEKDAY(A56,2),"Pzt","Sal","Çar","Per","Cum","Cmt","Paz"))</f>
        <v/>
      </c>
      <c r="C56" s="18" t="n"/>
      <c r="D56" s="17" t="n"/>
      <c r="E56" s="17" t="n"/>
      <c r="F56" s="17" t="n"/>
      <c r="G56" s="17" t="n"/>
      <c r="H56" s="19">
        <f>IF(OR(A56="",C56=""),"",IF(WEEKDAY(A56,2)&gt;=6,UcretHaftaSonu,IF(OR(C56&gt;=AksamBas,C56&lt;TIME(6,0,0)),UcretAksam,UcretGunduz)))</f>
        <v/>
      </c>
      <c r="I56" s="19" t="n"/>
      <c r="J56" s="17" t="n"/>
      <c r="K56" s="19">
        <f>IF(H56="","",IF(J56="Evet",0,H56-N(I56)))</f>
        <v/>
      </c>
      <c r="L56" s="17" t="n"/>
      <c r="M56" s="17" t="n"/>
      <c r="N56">
        <f>IF(OR(A56="",C56="",D56="",L56="İptal"),"",IFERROR(INT(A56)*100000+ROUND(C56*1440,0)*10+MATCH(D56,Sahalar,0),""))</f>
        <v/>
      </c>
    </row>
    <row r="57">
      <c r="A57" s="16" t="n"/>
      <c r="B57" s="17">
        <f>IF(A57="","",CHOOSE(WEEKDAY(A57,2),"Pzt","Sal","Çar","Per","Cum","Cmt","Paz"))</f>
        <v/>
      </c>
      <c r="C57" s="18" t="n"/>
      <c r="D57" s="17" t="n"/>
      <c r="E57" s="17" t="n"/>
      <c r="F57" s="17" t="n"/>
      <c r="G57" s="17" t="n"/>
      <c r="H57" s="19">
        <f>IF(OR(A57="",C57=""),"",IF(WEEKDAY(A57,2)&gt;=6,UcretHaftaSonu,IF(OR(C57&gt;=AksamBas,C57&lt;TIME(6,0,0)),UcretAksam,UcretGunduz)))</f>
        <v/>
      </c>
      <c r="I57" s="19" t="n"/>
      <c r="J57" s="17" t="n"/>
      <c r="K57" s="19">
        <f>IF(H57="","",IF(J57="Evet",0,H57-N(I57)))</f>
        <v/>
      </c>
      <c r="L57" s="17" t="n"/>
      <c r="M57" s="17" t="n"/>
      <c r="N57">
        <f>IF(OR(A57="",C57="",D57="",L57="İptal"),"",IFERROR(INT(A57)*100000+ROUND(C57*1440,0)*10+MATCH(D57,Sahalar,0),""))</f>
        <v/>
      </c>
    </row>
    <row r="58">
      <c r="A58" s="16" t="n"/>
      <c r="B58" s="17">
        <f>IF(A58="","",CHOOSE(WEEKDAY(A58,2),"Pzt","Sal","Çar","Per","Cum","Cmt","Paz"))</f>
        <v/>
      </c>
      <c r="C58" s="18" t="n"/>
      <c r="D58" s="17" t="n"/>
      <c r="E58" s="17" t="n"/>
      <c r="F58" s="17" t="n"/>
      <c r="G58" s="17" t="n"/>
      <c r="H58" s="19">
        <f>IF(OR(A58="",C58=""),"",IF(WEEKDAY(A58,2)&gt;=6,UcretHaftaSonu,IF(OR(C58&gt;=AksamBas,C58&lt;TIME(6,0,0)),UcretAksam,UcretGunduz)))</f>
        <v/>
      </c>
      <c r="I58" s="19" t="n"/>
      <c r="J58" s="17" t="n"/>
      <c r="K58" s="19">
        <f>IF(H58="","",IF(J58="Evet",0,H58-N(I58)))</f>
        <v/>
      </c>
      <c r="L58" s="17" t="n"/>
      <c r="M58" s="17" t="n"/>
      <c r="N58">
        <f>IF(OR(A58="",C58="",D58="",L58="İptal"),"",IFERROR(INT(A58)*100000+ROUND(C58*1440,0)*10+MATCH(D58,Sahalar,0),""))</f>
        <v/>
      </c>
    </row>
    <row r="59">
      <c r="A59" s="16" t="n"/>
      <c r="B59" s="17">
        <f>IF(A59="","",CHOOSE(WEEKDAY(A59,2),"Pzt","Sal","Çar","Per","Cum","Cmt","Paz"))</f>
        <v/>
      </c>
      <c r="C59" s="18" t="n"/>
      <c r="D59" s="17" t="n"/>
      <c r="E59" s="17" t="n"/>
      <c r="F59" s="17" t="n"/>
      <c r="G59" s="17" t="n"/>
      <c r="H59" s="19">
        <f>IF(OR(A59="",C59=""),"",IF(WEEKDAY(A59,2)&gt;=6,UcretHaftaSonu,IF(OR(C59&gt;=AksamBas,C59&lt;TIME(6,0,0)),UcretAksam,UcretGunduz)))</f>
        <v/>
      </c>
      <c r="I59" s="19" t="n"/>
      <c r="J59" s="17" t="n"/>
      <c r="K59" s="19">
        <f>IF(H59="","",IF(J59="Evet",0,H59-N(I59)))</f>
        <v/>
      </c>
      <c r="L59" s="17" t="n"/>
      <c r="M59" s="17" t="n"/>
      <c r="N59">
        <f>IF(OR(A59="",C59="",D59="",L59="İptal"),"",IFERROR(INT(A59)*100000+ROUND(C59*1440,0)*10+MATCH(D59,Sahalar,0),""))</f>
        <v/>
      </c>
    </row>
    <row r="60">
      <c r="A60" s="16" t="n"/>
      <c r="B60" s="17">
        <f>IF(A60="","",CHOOSE(WEEKDAY(A60,2),"Pzt","Sal","Çar","Per","Cum","Cmt","Paz"))</f>
        <v/>
      </c>
      <c r="C60" s="18" t="n"/>
      <c r="D60" s="17" t="n"/>
      <c r="E60" s="17" t="n"/>
      <c r="F60" s="17" t="n"/>
      <c r="G60" s="17" t="n"/>
      <c r="H60" s="19">
        <f>IF(OR(A60="",C60=""),"",IF(WEEKDAY(A60,2)&gt;=6,UcretHaftaSonu,IF(OR(C60&gt;=AksamBas,C60&lt;TIME(6,0,0)),UcretAksam,UcretGunduz)))</f>
        <v/>
      </c>
      <c r="I60" s="19" t="n"/>
      <c r="J60" s="17" t="n"/>
      <c r="K60" s="19">
        <f>IF(H60="","",IF(J60="Evet",0,H60-N(I60)))</f>
        <v/>
      </c>
      <c r="L60" s="17" t="n"/>
      <c r="M60" s="17" t="n"/>
      <c r="N60">
        <f>IF(OR(A60="",C60="",D60="",L60="İptal"),"",IFERROR(INT(A60)*100000+ROUND(C60*1440,0)*10+MATCH(D60,Sahalar,0),""))</f>
        <v/>
      </c>
    </row>
    <row r="61">
      <c r="A61" s="16" t="n"/>
      <c r="B61" s="17">
        <f>IF(A61="","",CHOOSE(WEEKDAY(A61,2),"Pzt","Sal","Çar","Per","Cum","Cmt","Paz"))</f>
        <v/>
      </c>
      <c r="C61" s="18" t="n"/>
      <c r="D61" s="17" t="n"/>
      <c r="E61" s="17" t="n"/>
      <c r="F61" s="17" t="n"/>
      <c r="G61" s="17" t="n"/>
      <c r="H61" s="19">
        <f>IF(OR(A61="",C61=""),"",IF(WEEKDAY(A61,2)&gt;=6,UcretHaftaSonu,IF(OR(C61&gt;=AksamBas,C61&lt;TIME(6,0,0)),UcretAksam,UcretGunduz)))</f>
        <v/>
      </c>
      <c r="I61" s="19" t="n"/>
      <c r="J61" s="17" t="n"/>
      <c r="K61" s="19">
        <f>IF(H61="","",IF(J61="Evet",0,H61-N(I61)))</f>
        <v/>
      </c>
      <c r="L61" s="17" t="n"/>
      <c r="M61" s="17" t="n"/>
      <c r="N61">
        <f>IF(OR(A61="",C61="",D61="",L61="İptal"),"",IFERROR(INT(A61)*100000+ROUND(C61*1440,0)*10+MATCH(D61,Sahalar,0),""))</f>
        <v/>
      </c>
    </row>
    <row r="62">
      <c r="A62" s="16" t="n"/>
      <c r="B62" s="17">
        <f>IF(A62="","",CHOOSE(WEEKDAY(A62,2),"Pzt","Sal","Çar","Per","Cum","Cmt","Paz"))</f>
        <v/>
      </c>
      <c r="C62" s="18" t="n"/>
      <c r="D62" s="17" t="n"/>
      <c r="E62" s="17" t="n"/>
      <c r="F62" s="17" t="n"/>
      <c r="G62" s="17" t="n"/>
      <c r="H62" s="19">
        <f>IF(OR(A62="",C62=""),"",IF(WEEKDAY(A62,2)&gt;=6,UcretHaftaSonu,IF(OR(C62&gt;=AksamBas,C62&lt;TIME(6,0,0)),UcretAksam,UcretGunduz)))</f>
        <v/>
      </c>
      <c r="I62" s="19" t="n"/>
      <c r="J62" s="17" t="n"/>
      <c r="K62" s="19">
        <f>IF(H62="","",IF(J62="Evet",0,H62-N(I62)))</f>
        <v/>
      </c>
      <c r="L62" s="17" t="n"/>
      <c r="M62" s="17" t="n"/>
      <c r="N62">
        <f>IF(OR(A62="",C62="",D62="",L62="İptal"),"",IFERROR(INT(A62)*100000+ROUND(C62*1440,0)*10+MATCH(D62,Sahalar,0),""))</f>
        <v/>
      </c>
    </row>
    <row r="63">
      <c r="A63" s="16" t="n"/>
      <c r="B63" s="17">
        <f>IF(A63="","",CHOOSE(WEEKDAY(A63,2),"Pzt","Sal","Çar","Per","Cum","Cmt","Paz"))</f>
        <v/>
      </c>
      <c r="C63" s="18" t="n"/>
      <c r="D63" s="17" t="n"/>
      <c r="E63" s="17" t="n"/>
      <c r="F63" s="17" t="n"/>
      <c r="G63" s="17" t="n"/>
      <c r="H63" s="19">
        <f>IF(OR(A63="",C63=""),"",IF(WEEKDAY(A63,2)&gt;=6,UcretHaftaSonu,IF(OR(C63&gt;=AksamBas,C63&lt;TIME(6,0,0)),UcretAksam,UcretGunduz)))</f>
        <v/>
      </c>
      <c r="I63" s="19" t="n"/>
      <c r="J63" s="17" t="n"/>
      <c r="K63" s="19">
        <f>IF(H63="","",IF(J63="Evet",0,H63-N(I63)))</f>
        <v/>
      </c>
      <c r="L63" s="17" t="n"/>
      <c r="M63" s="17" t="n"/>
      <c r="N63">
        <f>IF(OR(A63="",C63="",D63="",L63="İptal"),"",IFERROR(INT(A63)*100000+ROUND(C63*1440,0)*10+MATCH(D63,Sahalar,0),""))</f>
        <v/>
      </c>
    </row>
    <row r="64">
      <c r="A64" s="16" t="n"/>
      <c r="B64" s="17">
        <f>IF(A64="","",CHOOSE(WEEKDAY(A64,2),"Pzt","Sal","Çar","Per","Cum","Cmt","Paz"))</f>
        <v/>
      </c>
      <c r="C64" s="18" t="n"/>
      <c r="D64" s="17" t="n"/>
      <c r="E64" s="17" t="n"/>
      <c r="F64" s="17" t="n"/>
      <c r="G64" s="17" t="n"/>
      <c r="H64" s="19">
        <f>IF(OR(A64="",C64=""),"",IF(WEEKDAY(A64,2)&gt;=6,UcretHaftaSonu,IF(OR(C64&gt;=AksamBas,C64&lt;TIME(6,0,0)),UcretAksam,UcretGunduz)))</f>
        <v/>
      </c>
      <c r="I64" s="19" t="n"/>
      <c r="J64" s="17" t="n"/>
      <c r="K64" s="19">
        <f>IF(H64="","",IF(J64="Evet",0,H64-N(I64)))</f>
        <v/>
      </c>
      <c r="L64" s="17" t="n"/>
      <c r="M64" s="17" t="n"/>
      <c r="N64">
        <f>IF(OR(A64="",C64="",D64="",L64="İptal"),"",IFERROR(INT(A64)*100000+ROUND(C64*1440,0)*10+MATCH(D64,Sahalar,0),""))</f>
        <v/>
      </c>
    </row>
    <row r="65">
      <c r="A65" s="16" t="n"/>
      <c r="B65" s="17">
        <f>IF(A65="","",CHOOSE(WEEKDAY(A65,2),"Pzt","Sal","Çar","Per","Cum","Cmt","Paz"))</f>
        <v/>
      </c>
      <c r="C65" s="18" t="n"/>
      <c r="D65" s="17" t="n"/>
      <c r="E65" s="17" t="n"/>
      <c r="F65" s="17" t="n"/>
      <c r="G65" s="17" t="n"/>
      <c r="H65" s="19">
        <f>IF(OR(A65="",C65=""),"",IF(WEEKDAY(A65,2)&gt;=6,UcretHaftaSonu,IF(OR(C65&gt;=AksamBas,C65&lt;TIME(6,0,0)),UcretAksam,UcretGunduz)))</f>
        <v/>
      </c>
      <c r="I65" s="19" t="n"/>
      <c r="J65" s="17" t="n"/>
      <c r="K65" s="19">
        <f>IF(H65="","",IF(J65="Evet",0,H65-N(I65)))</f>
        <v/>
      </c>
      <c r="L65" s="17" t="n"/>
      <c r="M65" s="17" t="n"/>
      <c r="N65">
        <f>IF(OR(A65="",C65="",D65="",L65="İptal"),"",IFERROR(INT(A65)*100000+ROUND(C65*1440,0)*10+MATCH(D65,Sahalar,0),""))</f>
        <v/>
      </c>
    </row>
    <row r="66">
      <c r="A66" s="16" t="n"/>
      <c r="B66" s="17">
        <f>IF(A66="","",CHOOSE(WEEKDAY(A66,2),"Pzt","Sal","Çar","Per","Cum","Cmt","Paz"))</f>
        <v/>
      </c>
      <c r="C66" s="18" t="n"/>
      <c r="D66" s="17" t="n"/>
      <c r="E66" s="17" t="n"/>
      <c r="F66" s="17" t="n"/>
      <c r="G66" s="17" t="n"/>
      <c r="H66" s="19">
        <f>IF(OR(A66="",C66=""),"",IF(WEEKDAY(A66,2)&gt;=6,UcretHaftaSonu,IF(OR(C66&gt;=AksamBas,C66&lt;TIME(6,0,0)),UcretAksam,UcretGunduz)))</f>
        <v/>
      </c>
      <c r="I66" s="19" t="n"/>
      <c r="J66" s="17" t="n"/>
      <c r="K66" s="19">
        <f>IF(H66="","",IF(J66="Evet",0,H66-N(I66)))</f>
        <v/>
      </c>
      <c r="L66" s="17" t="n"/>
      <c r="M66" s="17" t="n"/>
      <c r="N66">
        <f>IF(OR(A66="",C66="",D66="",L66="İptal"),"",IFERROR(INT(A66)*100000+ROUND(C66*1440,0)*10+MATCH(D66,Sahalar,0),""))</f>
        <v/>
      </c>
    </row>
    <row r="67">
      <c r="A67" s="16" t="n"/>
      <c r="B67" s="17">
        <f>IF(A67="","",CHOOSE(WEEKDAY(A67,2),"Pzt","Sal","Çar","Per","Cum","Cmt","Paz"))</f>
        <v/>
      </c>
      <c r="C67" s="18" t="n"/>
      <c r="D67" s="17" t="n"/>
      <c r="E67" s="17" t="n"/>
      <c r="F67" s="17" t="n"/>
      <c r="G67" s="17" t="n"/>
      <c r="H67" s="19">
        <f>IF(OR(A67="",C67=""),"",IF(WEEKDAY(A67,2)&gt;=6,UcretHaftaSonu,IF(OR(C67&gt;=AksamBas,C67&lt;TIME(6,0,0)),UcretAksam,UcretGunduz)))</f>
        <v/>
      </c>
      <c r="I67" s="19" t="n"/>
      <c r="J67" s="17" t="n"/>
      <c r="K67" s="19">
        <f>IF(H67="","",IF(J67="Evet",0,H67-N(I67)))</f>
        <v/>
      </c>
      <c r="L67" s="17" t="n"/>
      <c r="M67" s="17" t="n"/>
      <c r="N67">
        <f>IF(OR(A67="",C67="",D67="",L67="İptal"),"",IFERROR(INT(A67)*100000+ROUND(C67*1440,0)*10+MATCH(D67,Sahalar,0),""))</f>
        <v/>
      </c>
    </row>
    <row r="68">
      <c r="A68" s="16" t="n"/>
      <c r="B68" s="17">
        <f>IF(A68="","",CHOOSE(WEEKDAY(A68,2),"Pzt","Sal","Çar","Per","Cum","Cmt","Paz"))</f>
        <v/>
      </c>
      <c r="C68" s="18" t="n"/>
      <c r="D68" s="17" t="n"/>
      <c r="E68" s="17" t="n"/>
      <c r="F68" s="17" t="n"/>
      <c r="G68" s="17" t="n"/>
      <c r="H68" s="19">
        <f>IF(OR(A68="",C68=""),"",IF(WEEKDAY(A68,2)&gt;=6,UcretHaftaSonu,IF(OR(C68&gt;=AksamBas,C68&lt;TIME(6,0,0)),UcretAksam,UcretGunduz)))</f>
        <v/>
      </c>
      <c r="I68" s="19" t="n"/>
      <c r="J68" s="17" t="n"/>
      <c r="K68" s="19">
        <f>IF(H68="","",IF(J68="Evet",0,H68-N(I68)))</f>
        <v/>
      </c>
      <c r="L68" s="17" t="n"/>
      <c r="M68" s="17" t="n"/>
      <c r="N68">
        <f>IF(OR(A68="",C68="",D68="",L68="İptal"),"",IFERROR(INT(A68)*100000+ROUND(C68*1440,0)*10+MATCH(D68,Sahalar,0),""))</f>
        <v/>
      </c>
    </row>
    <row r="69">
      <c r="A69" s="16" t="n"/>
      <c r="B69" s="17">
        <f>IF(A69="","",CHOOSE(WEEKDAY(A69,2),"Pzt","Sal","Çar","Per","Cum","Cmt","Paz"))</f>
        <v/>
      </c>
      <c r="C69" s="18" t="n"/>
      <c r="D69" s="17" t="n"/>
      <c r="E69" s="17" t="n"/>
      <c r="F69" s="17" t="n"/>
      <c r="G69" s="17" t="n"/>
      <c r="H69" s="19">
        <f>IF(OR(A69="",C69=""),"",IF(WEEKDAY(A69,2)&gt;=6,UcretHaftaSonu,IF(OR(C69&gt;=AksamBas,C69&lt;TIME(6,0,0)),UcretAksam,UcretGunduz)))</f>
        <v/>
      </c>
      <c r="I69" s="19" t="n"/>
      <c r="J69" s="17" t="n"/>
      <c r="K69" s="19">
        <f>IF(H69="","",IF(J69="Evet",0,H69-N(I69)))</f>
        <v/>
      </c>
      <c r="L69" s="17" t="n"/>
      <c r="M69" s="17" t="n"/>
      <c r="N69">
        <f>IF(OR(A69="",C69="",D69="",L69="İptal"),"",IFERROR(INT(A69)*100000+ROUND(C69*1440,0)*10+MATCH(D69,Sahalar,0),""))</f>
        <v/>
      </c>
    </row>
    <row r="70">
      <c r="A70" s="16" t="n"/>
      <c r="B70" s="17">
        <f>IF(A70="","",CHOOSE(WEEKDAY(A70,2),"Pzt","Sal","Çar","Per","Cum","Cmt","Paz"))</f>
        <v/>
      </c>
      <c r="C70" s="18" t="n"/>
      <c r="D70" s="17" t="n"/>
      <c r="E70" s="17" t="n"/>
      <c r="F70" s="17" t="n"/>
      <c r="G70" s="17" t="n"/>
      <c r="H70" s="19">
        <f>IF(OR(A70="",C70=""),"",IF(WEEKDAY(A70,2)&gt;=6,UcretHaftaSonu,IF(OR(C70&gt;=AksamBas,C70&lt;TIME(6,0,0)),UcretAksam,UcretGunduz)))</f>
        <v/>
      </c>
      <c r="I70" s="19" t="n"/>
      <c r="J70" s="17" t="n"/>
      <c r="K70" s="19">
        <f>IF(H70="","",IF(J70="Evet",0,H70-N(I70)))</f>
        <v/>
      </c>
      <c r="L70" s="17" t="n"/>
      <c r="M70" s="17" t="n"/>
      <c r="N70">
        <f>IF(OR(A70="",C70="",D70="",L70="İptal"),"",IFERROR(INT(A70)*100000+ROUND(C70*1440,0)*10+MATCH(D70,Sahalar,0),""))</f>
        <v/>
      </c>
    </row>
    <row r="71">
      <c r="A71" s="16" t="n"/>
      <c r="B71" s="17">
        <f>IF(A71="","",CHOOSE(WEEKDAY(A71,2),"Pzt","Sal","Çar","Per","Cum","Cmt","Paz"))</f>
        <v/>
      </c>
      <c r="C71" s="18" t="n"/>
      <c r="D71" s="17" t="n"/>
      <c r="E71" s="17" t="n"/>
      <c r="F71" s="17" t="n"/>
      <c r="G71" s="17" t="n"/>
      <c r="H71" s="19">
        <f>IF(OR(A71="",C71=""),"",IF(WEEKDAY(A71,2)&gt;=6,UcretHaftaSonu,IF(OR(C71&gt;=AksamBas,C71&lt;TIME(6,0,0)),UcretAksam,UcretGunduz)))</f>
        <v/>
      </c>
      <c r="I71" s="19" t="n"/>
      <c r="J71" s="17" t="n"/>
      <c r="K71" s="19">
        <f>IF(H71="","",IF(J71="Evet",0,H71-N(I71)))</f>
        <v/>
      </c>
      <c r="L71" s="17" t="n"/>
      <c r="M71" s="17" t="n"/>
      <c r="N71">
        <f>IF(OR(A71="",C71="",D71="",L71="İptal"),"",IFERROR(INT(A71)*100000+ROUND(C71*1440,0)*10+MATCH(D71,Sahalar,0),""))</f>
        <v/>
      </c>
    </row>
    <row r="72">
      <c r="A72" s="16" t="n"/>
      <c r="B72" s="17">
        <f>IF(A72="","",CHOOSE(WEEKDAY(A72,2),"Pzt","Sal","Çar","Per","Cum","Cmt","Paz"))</f>
        <v/>
      </c>
      <c r="C72" s="18" t="n"/>
      <c r="D72" s="17" t="n"/>
      <c r="E72" s="17" t="n"/>
      <c r="F72" s="17" t="n"/>
      <c r="G72" s="17" t="n"/>
      <c r="H72" s="19">
        <f>IF(OR(A72="",C72=""),"",IF(WEEKDAY(A72,2)&gt;=6,UcretHaftaSonu,IF(OR(C72&gt;=AksamBas,C72&lt;TIME(6,0,0)),UcretAksam,UcretGunduz)))</f>
        <v/>
      </c>
      <c r="I72" s="19" t="n"/>
      <c r="J72" s="17" t="n"/>
      <c r="K72" s="19">
        <f>IF(H72="","",IF(J72="Evet",0,H72-N(I72)))</f>
        <v/>
      </c>
      <c r="L72" s="17" t="n"/>
      <c r="M72" s="17" t="n"/>
      <c r="N72">
        <f>IF(OR(A72="",C72="",D72="",L72="İptal"),"",IFERROR(INT(A72)*100000+ROUND(C72*1440,0)*10+MATCH(D72,Sahalar,0),""))</f>
        <v/>
      </c>
    </row>
    <row r="73">
      <c r="A73" s="16" t="n"/>
      <c r="B73" s="17">
        <f>IF(A73="","",CHOOSE(WEEKDAY(A73,2),"Pzt","Sal","Çar","Per","Cum","Cmt","Paz"))</f>
        <v/>
      </c>
      <c r="C73" s="18" t="n"/>
      <c r="D73" s="17" t="n"/>
      <c r="E73" s="17" t="n"/>
      <c r="F73" s="17" t="n"/>
      <c r="G73" s="17" t="n"/>
      <c r="H73" s="19">
        <f>IF(OR(A73="",C73=""),"",IF(WEEKDAY(A73,2)&gt;=6,UcretHaftaSonu,IF(OR(C73&gt;=AksamBas,C73&lt;TIME(6,0,0)),UcretAksam,UcretGunduz)))</f>
        <v/>
      </c>
      <c r="I73" s="19" t="n"/>
      <c r="J73" s="17" t="n"/>
      <c r="K73" s="19">
        <f>IF(H73="","",IF(J73="Evet",0,H73-N(I73)))</f>
        <v/>
      </c>
      <c r="L73" s="17" t="n"/>
      <c r="M73" s="17" t="n"/>
      <c r="N73">
        <f>IF(OR(A73="",C73="",D73="",L73="İptal"),"",IFERROR(INT(A73)*100000+ROUND(C73*1440,0)*10+MATCH(D73,Sahalar,0),""))</f>
        <v/>
      </c>
    </row>
    <row r="74">
      <c r="A74" s="16" t="n"/>
      <c r="B74" s="17">
        <f>IF(A74="","",CHOOSE(WEEKDAY(A74,2),"Pzt","Sal","Çar","Per","Cum","Cmt","Paz"))</f>
        <v/>
      </c>
      <c r="C74" s="18" t="n"/>
      <c r="D74" s="17" t="n"/>
      <c r="E74" s="17" t="n"/>
      <c r="F74" s="17" t="n"/>
      <c r="G74" s="17" t="n"/>
      <c r="H74" s="19">
        <f>IF(OR(A74="",C74=""),"",IF(WEEKDAY(A74,2)&gt;=6,UcretHaftaSonu,IF(OR(C74&gt;=AksamBas,C74&lt;TIME(6,0,0)),UcretAksam,UcretGunduz)))</f>
        <v/>
      </c>
      <c r="I74" s="19" t="n"/>
      <c r="J74" s="17" t="n"/>
      <c r="K74" s="19">
        <f>IF(H74="","",IF(J74="Evet",0,H74-N(I74)))</f>
        <v/>
      </c>
      <c r="L74" s="17" t="n"/>
      <c r="M74" s="17" t="n"/>
      <c r="N74">
        <f>IF(OR(A74="",C74="",D74="",L74="İptal"),"",IFERROR(INT(A74)*100000+ROUND(C74*1440,0)*10+MATCH(D74,Sahalar,0),""))</f>
        <v/>
      </c>
    </row>
    <row r="75">
      <c r="A75" s="16" t="n"/>
      <c r="B75" s="17">
        <f>IF(A75="","",CHOOSE(WEEKDAY(A75,2),"Pzt","Sal","Çar","Per","Cum","Cmt","Paz"))</f>
        <v/>
      </c>
      <c r="C75" s="18" t="n"/>
      <c r="D75" s="17" t="n"/>
      <c r="E75" s="17" t="n"/>
      <c r="F75" s="17" t="n"/>
      <c r="G75" s="17" t="n"/>
      <c r="H75" s="19">
        <f>IF(OR(A75="",C75=""),"",IF(WEEKDAY(A75,2)&gt;=6,UcretHaftaSonu,IF(OR(C75&gt;=AksamBas,C75&lt;TIME(6,0,0)),UcretAksam,UcretGunduz)))</f>
        <v/>
      </c>
      <c r="I75" s="19" t="n"/>
      <c r="J75" s="17" t="n"/>
      <c r="K75" s="19">
        <f>IF(H75="","",IF(J75="Evet",0,H75-N(I75)))</f>
        <v/>
      </c>
      <c r="L75" s="17" t="n"/>
      <c r="M75" s="17" t="n"/>
      <c r="N75">
        <f>IF(OR(A75="",C75="",D75="",L75="İptal"),"",IFERROR(INT(A75)*100000+ROUND(C75*1440,0)*10+MATCH(D75,Sahalar,0),""))</f>
        <v/>
      </c>
    </row>
    <row r="76">
      <c r="A76" s="16" t="n"/>
      <c r="B76" s="17">
        <f>IF(A76="","",CHOOSE(WEEKDAY(A76,2),"Pzt","Sal","Çar","Per","Cum","Cmt","Paz"))</f>
        <v/>
      </c>
      <c r="C76" s="18" t="n"/>
      <c r="D76" s="17" t="n"/>
      <c r="E76" s="17" t="n"/>
      <c r="F76" s="17" t="n"/>
      <c r="G76" s="17" t="n"/>
      <c r="H76" s="19">
        <f>IF(OR(A76="",C76=""),"",IF(WEEKDAY(A76,2)&gt;=6,UcretHaftaSonu,IF(OR(C76&gt;=AksamBas,C76&lt;TIME(6,0,0)),UcretAksam,UcretGunduz)))</f>
        <v/>
      </c>
      <c r="I76" s="19" t="n"/>
      <c r="J76" s="17" t="n"/>
      <c r="K76" s="19">
        <f>IF(H76="","",IF(J76="Evet",0,H76-N(I76)))</f>
        <v/>
      </c>
      <c r="L76" s="17" t="n"/>
      <c r="M76" s="17" t="n"/>
      <c r="N76">
        <f>IF(OR(A76="",C76="",D76="",L76="İptal"),"",IFERROR(INT(A76)*100000+ROUND(C76*1440,0)*10+MATCH(D76,Sahalar,0),""))</f>
        <v/>
      </c>
    </row>
    <row r="77">
      <c r="A77" s="16" t="n"/>
      <c r="B77" s="17">
        <f>IF(A77="","",CHOOSE(WEEKDAY(A77,2),"Pzt","Sal","Çar","Per","Cum","Cmt","Paz"))</f>
        <v/>
      </c>
      <c r="C77" s="18" t="n"/>
      <c r="D77" s="17" t="n"/>
      <c r="E77" s="17" t="n"/>
      <c r="F77" s="17" t="n"/>
      <c r="G77" s="17" t="n"/>
      <c r="H77" s="19">
        <f>IF(OR(A77="",C77=""),"",IF(WEEKDAY(A77,2)&gt;=6,UcretHaftaSonu,IF(OR(C77&gt;=AksamBas,C77&lt;TIME(6,0,0)),UcretAksam,UcretGunduz)))</f>
        <v/>
      </c>
      <c r="I77" s="19" t="n"/>
      <c r="J77" s="17" t="n"/>
      <c r="K77" s="19">
        <f>IF(H77="","",IF(J77="Evet",0,H77-N(I77)))</f>
        <v/>
      </c>
      <c r="L77" s="17" t="n"/>
      <c r="M77" s="17" t="n"/>
      <c r="N77">
        <f>IF(OR(A77="",C77="",D77="",L77="İptal"),"",IFERROR(INT(A77)*100000+ROUND(C77*1440,0)*10+MATCH(D77,Sahalar,0),""))</f>
        <v/>
      </c>
    </row>
    <row r="78">
      <c r="A78" s="16" t="n"/>
      <c r="B78" s="17">
        <f>IF(A78="","",CHOOSE(WEEKDAY(A78,2),"Pzt","Sal","Çar","Per","Cum","Cmt","Paz"))</f>
        <v/>
      </c>
      <c r="C78" s="18" t="n"/>
      <c r="D78" s="17" t="n"/>
      <c r="E78" s="17" t="n"/>
      <c r="F78" s="17" t="n"/>
      <c r="G78" s="17" t="n"/>
      <c r="H78" s="19">
        <f>IF(OR(A78="",C78=""),"",IF(WEEKDAY(A78,2)&gt;=6,UcretHaftaSonu,IF(OR(C78&gt;=AksamBas,C78&lt;TIME(6,0,0)),UcretAksam,UcretGunduz)))</f>
        <v/>
      </c>
      <c r="I78" s="19" t="n"/>
      <c r="J78" s="17" t="n"/>
      <c r="K78" s="19">
        <f>IF(H78="","",IF(J78="Evet",0,H78-N(I78)))</f>
        <v/>
      </c>
      <c r="L78" s="17" t="n"/>
      <c r="M78" s="17" t="n"/>
      <c r="N78">
        <f>IF(OR(A78="",C78="",D78="",L78="İptal"),"",IFERROR(INT(A78)*100000+ROUND(C78*1440,0)*10+MATCH(D78,Sahalar,0),""))</f>
        <v/>
      </c>
    </row>
    <row r="79">
      <c r="A79" s="16" t="n"/>
      <c r="B79" s="17">
        <f>IF(A79="","",CHOOSE(WEEKDAY(A79,2),"Pzt","Sal","Çar","Per","Cum","Cmt","Paz"))</f>
        <v/>
      </c>
      <c r="C79" s="18" t="n"/>
      <c r="D79" s="17" t="n"/>
      <c r="E79" s="17" t="n"/>
      <c r="F79" s="17" t="n"/>
      <c r="G79" s="17" t="n"/>
      <c r="H79" s="19">
        <f>IF(OR(A79="",C79=""),"",IF(WEEKDAY(A79,2)&gt;=6,UcretHaftaSonu,IF(OR(C79&gt;=AksamBas,C79&lt;TIME(6,0,0)),UcretAksam,UcretGunduz)))</f>
        <v/>
      </c>
      <c r="I79" s="19" t="n"/>
      <c r="J79" s="17" t="n"/>
      <c r="K79" s="19">
        <f>IF(H79="","",IF(J79="Evet",0,H79-N(I79)))</f>
        <v/>
      </c>
      <c r="L79" s="17" t="n"/>
      <c r="M79" s="17" t="n"/>
      <c r="N79">
        <f>IF(OR(A79="",C79="",D79="",L79="İptal"),"",IFERROR(INT(A79)*100000+ROUND(C79*1440,0)*10+MATCH(D79,Sahalar,0),""))</f>
        <v/>
      </c>
    </row>
    <row r="80">
      <c r="A80" s="16" t="n"/>
      <c r="B80" s="17">
        <f>IF(A80="","",CHOOSE(WEEKDAY(A80,2),"Pzt","Sal","Çar","Per","Cum","Cmt","Paz"))</f>
        <v/>
      </c>
      <c r="C80" s="18" t="n"/>
      <c r="D80" s="17" t="n"/>
      <c r="E80" s="17" t="n"/>
      <c r="F80" s="17" t="n"/>
      <c r="G80" s="17" t="n"/>
      <c r="H80" s="19">
        <f>IF(OR(A80="",C80=""),"",IF(WEEKDAY(A80,2)&gt;=6,UcretHaftaSonu,IF(OR(C80&gt;=AksamBas,C80&lt;TIME(6,0,0)),UcretAksam,UcretGunduz)))</f>
        <v/>
      </c>
      <c r="I80" s="19" t="n"/>
      <c r="J80" s="17" t="n"/>
      <c r="K80" s="19">
        <f>IF(H80="","",IF(J80="Evet",0,H80-N(I80)))</f>
        <v/>
      </c>
      <c r="L80" s="17" t="n"/>
      <c r="M80" s="17" t="n"/>
      <c r="N80">
        <f>IF(OR(A80="",C80="",D80="",L80="İptal"),"",IFERROR(INT(A80)*100000+ROUND(C80*1440,0)*10+MATCH(D80,Sahalar,0),""))</f>
        <v/>
      </c>
    </row>
    <row r="81">
      <c r="A81" s="16" t="n"/>
      <c r="B81" s="17">
        <f>IF(A81="","",CHOOSE(WEEKDAY(A81,2),"Pzt","Sal","Çar","Per","Cum","Cmt","Paz"))</f>
        <v/>
      </c>
      <c r="C81" s="18" t="n"/>
      <c r="D81" s="17" t="n"/>
      <c r="E81" s="17" t="n"/>
      <c r="F81" s="17" t="n"/>
      <c r="G81" s="17" t="n"/>
      <c r="H81" s="19">
        <f>IF(OR(A81="",C81=""),"",IF(WEEKDAY(A81,2)&gt;=6,UcretHaftaSonu,IF(OR(C81&gt;=AksamBas,C81&lt;TIME(6,0,0)),UcretAksam,UcretGunduz)))</f>
        <v/>
      </c>
      <c r="I81" s="19" t="n"/>
      <c r="J81" s="17" t="n"/>
      <c r="K81" s="19">
        <f>IF(H81="","",IF(J81="Evet",0,H81-N(I81)))</f>
        <v/>
      </c>
      <c r="L81" s="17" t="n"/>
      <c r="M81" s="17" t="n"/>
      <c r="N81">
        <f>IF(OR(A81="",C81="",D81="",L81="İptal"),"",IFERROR(INT(A81)*100000+ROUND(C81*1440,0)*10+MATCH(D81,Sahalar,0),""))</f>
        <v/>
      </c>
    </row>
    <row r="82">
      <c r="A82" s="16" t="n"/>
      <c r="B82" s="17">
        <f>IF(A82="","",CHOOSE(WEEKDAY(A82,2),"Pzt","Sal","Çar","Per","Cum","Cmt","Paz"))</f>
        <v/>
      </c>
      <c r="C82" s="18" t="n"/>
      <c r="D82" s="17" t="n"/>
      <c r="E82" s="17" t="n"/>
      <c r="F82" s="17" t="n"/>
      <c r="G82" s="17" t="n"/>
      <c r="H82" s="19">
        <f>IF(OR(A82="",C82=""),"",IF(WEEKDAY(A82,2)&gt;=6,UcretHaftaSonu,IF(OR(C82&gt;=AksamBas,C82&lt;TIME(6,0,0)),UcretAksam,UcretGunduz)))</f>
        <v/>
      </c>
      <c r="I82" s="19" t="n"/>
      <c r="J82" s="17" t="n"/>
      <c r="K82" s="19">
        <f>IF(H82="","",IF(J82="Evet",0,H82-N(I82)))</f>
        <v/>
      </c>
      <c r="L82" s="17" t="n"/>
      <c r="M82" s="17" t="n"/>
      <c r="N82">
        <f>IF(OR(A82="",C82="",D82="",L82="İptal"),"",IFERROR(INT(A82)*100000+ROUND(C82*1440,0)*10+MATCH(D82,Sahalar,0),""))</f>
        <v/>
      </c>
    </row>
    <row r="83">
      <c r="A83" s="16" t="n"/>
      <c r="B83" s="17">
        <f>IF(A83="","",CHOOSE(WEEKDAY(A83,2),"Pzt","Sal","Çar","Per","Cum","Cmt","Paz"))</f>
        <v/>
      </c>
      <c r="C83" s="18" t="n"/>
      <c r="D83" s="17" t="n"/>
      <c r="E83" s="17" t="n"/>
      <c r="F83" s="17" t="n"/>
      <c r="G83" s="17" t="n"/>
      <c r="H83" s="19">
        <f>IF(OR(A83="",C83=""),"",IF(WEEKDAY(A83,2)&gt;=6,UcretHaftaSonu,IF(OR(C83&gt;=AksamBas,C83&lt;TIME(6,0,0)),UcretAksam,UcretGunduz)))</f>
        <v/>
      </c>
      <c r="I83" s="19" t="n"/>
      <c r="J83" s="17" t="n"/>
      <c r="K83" s="19">
        <f>IF(H83="","",IF(J83="Evet",0,H83-N(I83)))</f>
        <v/>
      </c>
      <c r="L83" s="17" t="n"/>
      <c r="M83" s="17" t="n"/>
      <c r="N83">
        <f>IF(OR(A83="",C83="",D83="",L83="İptal"),"",IFERROR(INT(A83)*100000+ROUND(C83*1440,0)*10+MATCH(D83,Sahalar,0),""))</f>
        <v/>
      </c>
    </row>
    <row r="84">
      <c r="A84" s="16" t="n"/>
      <c r="B84" s="17">
        <f>IF(A84="","",CHOOSE(WEEKDAY(A84,2),"Pzt","Sal","Çar","Per","Cum","Cmt","Paz"))</f>
        <v/>
      </c>
      <c r="C84" s="18" t="n"/>
      <c r="D84" s="17" t="n"/>
      <c r="E84" s="17" t="n"/>
      <c r="F84" s="17" t="n"/>
      <c r="G84" s="17" t="n"/>
      <c r="H84" s="19">
        <f>IF(OR(A84="",C84=""),"",IF(WEEKDAY(A84,2)&gt;=6,UcretHaftaSonu,IF(OR(C84&gt;=AksamBas,C84&lt;TIME(6,0,0)),UcretAksam,UcretGunduz)))</f>
        <v/>
      </c>
      <c r="I84" s="19" t="n"/>
      <c r="J84" s="17" t="n"/>
      <c r="K84" s="19">
        <f>IF(H84="","",IF(J84="Evet",0,H84-N(I84)))</f>
        <v/>
      </c>
      <c r="L84" s="17" t="n"/>
      <c r="M84" s="17" t="n"/>
      <c r="N84">
        <f>IF(OR(A84="",C84="",D84="",L84="İptal"),"",IFERROR(INT(A84)*100000+ROUND(C84*1440,0)*10+MATCH(D84,Sahalar,0),""))</f>
        <v/>
      </c>
    </row>
    <row r="85">
      <c r="A85" s="16" t="n"/>
      <c r="B85" s="17">
        <f>IF(A85="","",CHOOSE(WEEKDAY(A85,2),"Pzt","Sal","Çar","Per","Cum","Cmt","Paz"))</f>
        <v/>
      </c>
      <c r="C85" s="18" t="n"/>
      <c r="D85" s="17" t="n"/>
      <c r="E85" s="17" t="n"/>
      <c r="F85" s="17" t="n"/>
      <c r="G85" s="17" t="n"/>
      <c r="H85" s="19">
        <f>IF(OR(A85="",C85=""),"",IF(WEEKDAY(A85,2)&gt;=6,UcretHaftaSonu,IF(OR(C85&gt;=AksamBas,C85&lt;TIME(6,0,0)),UcretAksam,UcretGunduz)))</f>
        <v/>
      </c>
      <c r="I85" s="19" t="n"/>
      <c r="J85" s="17" t="n"/>
      <c r="K85" s="19">
        <f>IF(H85="","",IF(J85="Evet",0,H85-N(I85)))</f>
        <v/>
      </c>
      <c r="L85" s="17" t="n"/>
      <c r="M85" s="17" t="n"/>
      <c r="N85">
        <f>IF(OR(A85="",C85="",D85="",L85="İptal"),"",IFERROR(INT(A85)*100000+ROUND(C85*1440,0)*10+MATCH(D85,Sahalar,0),""))</f>
        <v/>
      </c>
    </row>
    <row r="86">
      <c r="A86" s="16" t="n"/>
      <c r="B86" s="17">
        <f>IF(A86="","",CHOOSE(WEEKDAY(A86,2),"Pzt","Sal","Çar","Per","Cum","Cmt","Paz"))</f>
        <v/>
      </c>
      <c r="C86" s="18" t="n"/>
      <c r="D86" s="17" t="n"/>
      <c r="E86" s="17" t="n"/>
      <c r="F86" s="17" t="n"/>
      <c r="G86" s="17" t="n"/>
      <c r="H86" s="19">
        <f>IF(OR(A86="",C86=""),"",IF(WEEKDAY(A86,2)&gt;=6,UcretHaftaSonu,IF(OR(C86&gt;=AksamBas,C86&lt;TIME(6,0,0)),UcretAksam,UcretGunduz)))</f>
        <v/>
      </c>
      <c r="I86" s="19" t="n"/>
      <c r="J86" s="17" t="n"/>
      <c r="K86" s="19">
        <f>IF(H86="","",IF(J86="Evet",0,H86-N(I86)))</f>
        <v/>
      </c>
      <c r="L86" s="17" t="n"/>
      <c r="M86" s="17" t="n"/>
      <c r="N86">
        <f>IF(OR(A86="",C86="",D86="",L86="İptal"),"",IFERROR(INT(A86)*100000+ROUND(C86*1440,0)*10+MATCH(D86,Sahalar,0),""))</f>
        <v/>
      </c>
    </row>
    <row r="87">
      <c r="A87" s="16" t="n"/>
      <c r="B87" s="17">
        <f>IF(A87="","",CHOOSE(WEEKDAY(A87,2),"Pzt","Sal","Çar","Per","Cum","Cmt","Paz"))</f>
        <v/>
      </c>
      <c r="C87" s="18" t="n"/>
      <c r="D87" s="17" t="n"/>
      <c r="E87" s="17" t="n"/>
      <c r="F87" s="17" t="n"/>
      <c r="G87" s="17" t="n"/>
      <c r="H87" s="19">
        <f>IF(OR(A87="",C87=""),"",IF(WEEKDAY(A87,2)&gt;=6,UcretHaftaSonu,IF(OR(C87&gt;=AksamBas,C87&lt;TIME(6,0,0)),UcretAksam,UcretGunduz)))</f>
        <v/>
      </c>
      <c r="I87" s="19" t="n"/>
      <c r="J87" s="17" t="n"/>
      <c r="K87" s="19">
        <f>IF(H87="","",IF(J87="Evet",0,H87-N(I87)))</f>
        <v/>
      </c>
      <c r="L87" s="17" t="n"/>
      <c r="M87" s="17" t="n"/>
      <c r="N87">
        <f>IF(OR(A87="",C87="",D87="",L87="İptal"),"",IFERROR(INT(A87)*100000+ROUND(C87*1440,0)*10+MATCH(D87,Sahalar,0),""))</f>
        <v/>
      </c>
    </row>
    <row r="88">
      <c r="A88" s="16" t="n"/>
      <c r="B88" s="17">
        <f>IF(A88="","",CHOOSE(WEEKDAY(A88,2),"Pzt","Sal","Çar","Per","Cum","Cmt","Paz"))</f>
        <v/>
      </c>
      <c r="C88" s="18" t="n"/>
      <c r="D88" s="17" t="n"/>
      <c r="E88" s="17" t="n"/>
      <c r="F88" s="17" t="n"/>
      <c r="G88" s="17" t="n"/>
      <c r="H88" s="19">
        <f>IF(OR(A88="",C88=""),"",IF(WEEKDAY(A88,2)&gt;=6,UcretHaftaSonu,IF(OR(C88&gt;=AksamBas,C88&lt;TIME(6,0,0)),UcretAksam,UcretGunduz)))</f>
        <v/>
      </c>
      <c r="I88" s="19" t="n"/>
      <c r="J88" s="17" t="n"/>
      <c r="K88" s="19">
        <f>IF(H88="","",IF(J88="Evet",0,H88-N(I88)))</f>
        <v/>
      </c>
      <c r="L88" s="17" t="n"/>
      <c r="M88" s="17" t="n"/>
      <c r="N88">
        <f>IF(OR(A88="",C88="",D88="",L88="İptal"),"",IFERROR(INT(A88)*100000+ROUND(C88*1440,0)*10+MATCH(D88,Sahalar,0),""))</f>
        <v/>
      </c>
    </row>
    <row r="89">
      <c r="A89" s="16" t="n"/>
      <c r="B89" s="17">
        <f>IF(A89="","",CHOOSE(WEEKDAY(A89,2),"Pzt","Sal","Çar","Per","Cum","Cmt","Paz"))</f>
        <v/>
      </c>
      <c r="C89" s="18" t="n"/>
      <c r="D89" s="17" t="n"/>
      <c r="E89" s="17" t="n"/>
      <c r="F89" s="17" t="n"/>
      <c r="G89" s="17" t="n"/>
      <c r="H89" s="19">
        <f>IF(OR(A89="",C89=""),"",IF(WEEKDAY(A89,2)&gt;=6,UcretHaftaSonu,IF(OR(C89&gt;=AksamBas,C89&lt;TIME(6,0,0)),UcretAksam,UcretGunduz)))</f>
        <v/>
      </c>
      <c r="I89" s="19" t="n"/>
      <c r="J89" s="17" t="n"/>
      <c r="K89" s="19">
        <f>IF(H89="","",IF(J89="Evet",0,H89-N(I89)))</f>
        <v/>
      </c>
      <c r="L89" s="17" t="n"/>
      <c r="M89" s="17" t="n"/>
      <c r="N89">
        <f>IF(OR(A89="",C89="",D89="",L89="İptal"),"",IFERROR(INT(A89)*100000+ROUND(C89*1440,0)*10+MATCH(D89,Sahalar,0),""))</f>
        <v/>
      </c>
    </row>
    <row r="90">
      <c r="A90" s="16" t="n"/>
      <c r="B90" s="17">
        <f>IF(A90="","",CHOOSE(WEEKDAY(A90,2),"Pzt","Sal","Çar","Per","Cum","Cmt","Paz"))</f>
        <v/>
      </c>
      <c r="C90" s="18" t="n"/>
      <c r="D90" s="17" t="n"/>
      <c r="E90" s="17" t="n"/>
      <c r="F90" s="17" t="n"/>
      <c r="G90" s="17" t="n"/>
      <c r="H90" s="19">
        <f>IF(OR(A90="",C90=""),"",IF(WEEKDAY(A90,2)&gt;=6,UcretHaftaSonu,IF(OR(C90&gt;=AksamBas,C90&lt;TIME(6,0,0)),UcretAksam,UcretGunduz)))</f>
        <v/>
      </c>
      <c r="I90" s="19" t="n"/>
      <c r="J90" s="17" t="n"/>
      <c r="K90" s="19">
        <f>IF(H90="","",IF(J90="Evet",0,H90-N(I90)))</f>
        <v/>
      </c>
      <c r="L90" s="17" t="n"/>
      <c r="M90" s="17" t="n"/>
      <c r="N90">
        <f>IF(OR(A90="",C90="",D90="",L90="İptal"),"",IFERROR(INT(A90)*100000+ROUND(C90*1440,0)*10+MATCH(D90,Sahalar,0),""))</f>
        <v/>
      </c>
    </row>
    <row r="91">
      <c r="A91" s="16" t="n"/>
      <c r="B91" s="17">
        <f>IF(A91="","",CHOOSE(WEEKDAY(A91,2),"Pzt","Sal","Çar","Per","Cum","Cmt","Paz"))</f>
        <v/>
      </c>
      <c r="C91" s="18" t="n"/>
      <c r="D91" s="17" t="n"/>
      <c r="E91" s="17" t="n"/>
      <c r="F91" s="17" t="n"/>
      <c r="G91" s="17" t="n"/>
      <c r="H91" s="19">
        <f>IF(OR(A91="",C91=""),"",IF(WEEKDAY(A91,2)&gt;=6,UcretHaftaSonu,IF(OR(C91&gt;=AksamBas,C91&lt;TIME(6,0,0)),UcretAksam,UcretGunduz)))</f>
        <v/>
      </c>
      <c r="I91" s="19" t="n"/>
      <c r="J91" s="17" t="n"/>
      <c r="K91" s="19">
        <f>IF(H91="","",IF(J91="Evet",0,H91-N(I91)))</f>
        <v/>
      </c>
      <c r="L91" s="17" t="n"/>
      <c r="M91" s="17" t="n"/>
      <c r="N91">
        <f>IF(OR(A91="",C91="",D91="",L91="İptal"),"",IFERROR(INT(A91)*100000+ROUND(C91*1440,0)*10+MATCH(D91,Sahalar,0),""))</f>
        <v/>
      </c>
    </row>
    <row r="92">
      <c r="A92" s="16" t="n"/>
      <c r="B92" s="17">
        <f>IF(A92="","",CHOOSE(WEEKDAY(A92,2),"Pzt","Sal","Çar","Per","Cum","Cmt","Paz"))</f>
        <v/>
      </c>
      <c r="C92" s="18" t="n"/>
      <c r="D92" s="17" t="n"/>
      <c r="E92" s="17" t="n"/>
      <c r="F92" s="17" t="n"/>
      <c r="G92" s="17" t="n"/>
      <c r="H92" s="19">
        <f>IF(OR(A92="",C92=""),"",IF(WEEKDAY(A92,2)&gt;=6,UcretHaftaSonu,IF(OR(C92&gt;=AksamBas,C92&lt;TIME(6,0,0)),UcretAksam,UcretGunduz)))</f>
        <v/>
      </c>
      <c r="I92" s="19" t="n"/>
      <c r="J92" s="17" t="n"/>
      <c r="K92" s="19">
        <f>IF(H92="","",IF(J92="Evet",0,H92-N(I92)))</f>
        <v/>
      </c>
      <c r="L92" s="17" t="n"/>
      <c r="M92" s="17" t="n"/>
      <c r="N92">
        <f>IF(OR(A92="",C92="",D92="",L92="İptal"),"",IFERROR(INT(A92)*100000+ROUND(C92*1440,0)*10+MATCH(D92,Sahalar,0),""))</f>
        <v/>
      </c>
    </row>
    <row r="93">
      <c r="A93" s="16" t="n"/>
      <c r="B93" s="17">
        <f>IF(A93="","",CHOOSE(WEEKDAY(A93,2),"Pzt","Sal","Çar","Per","Cum","Cmt","Paz"))</f>
        <v/>
      </c>
      <c r="C93" s="18" t="n"/>
      <c r="D93" s="17" t="n"/>
      <c r="E93" s="17" t="n"/>
      <c r="F93" s="17" t="n"/>
      <c r="G93" s="17" t="n"/>
      <c r="H93" s="19">
        <f>IF(OR(A93="",C93=""),"",IF(WEEKDAY(A93,2)&gt;=6,UcretHaftaSonu,IF(OR(C93&gt;=AksamBas,C93&lt;TIME(6,0,0)),UcretAksam,UcretGunduz)))</f>
        <v/>
      </c>
      <c r="I93" s="19" t="n"/>
      <c r="J93" s="17" t="n"/>
      <c r="K93" s="19">
        <f>IF(H93="","",IF(J93="Evet",0,H93-N(I93)))</f>
        <v/>
      </c>
      <c r="L93" s="17" t="n"/>
      <c r="M93" s="17" t="n"/>
      <c r="N93">
        <f>IF(OR(A93="",C93="",D93="",L93="İptal"),"",IFERROR(INT(A93)*100000+ROUND(C93*1440,0)*10+MATCH(D93,Sahalar,0),""))</f>
        <v/>
      </c>
    </row>
    <row r="94">
      <c r="A94" s="16" t="n"/>
      <c r="B94" s="17">
        <f>IF(A94="","",CHOOSE(WEEKDAY(A94,2),"Pzt","Sal","Çar","Per","Cum","Cmt","Paz"))</f>
        <v/>
      </c>
      <c r="C94" s="18" t="n"/>
      <c r="D94" s="17" t="n"/>
      <c r="E94" s="17" t="n"/>
      <c r="F94" s="17" t="n"/>
      <c r="G94" s="17" t="n"/>
      <c r="H94" s="19">
        <f>IF(OR(A94="",C94=""),"",IF(WEEKDAY(A94,2)&gt;=6,UcretHaftaSonu,IF(OR(C94&gt;=AksamBas,C94&lt;TIME(6,0,0)),UcretAksam,UcretGunduz)))</f>
        <v/>
      </c>
      <c r="I94" s="19" t="n"/>
      <c r="J94" s="17" t="n"/>
      <c r="K94" s="19">
        <f>IF(H94="","",IF(J94="Evet",0,H94-N(I94)))</f>
        <v/>
      </c>
      <c r="L94" s="17" t="n"/>
      <c r="M94" s="17" t="n"/>
      <c r="N94">
        <f>IF(OR(A94="",C94="",D94="",L94="İptal"),"",IFERROR(INT(A94)*100000+ROUND(C94*1440,0)*10+MATCH(D94,Sahalar,0),""))</f>
        <v/>
      </c>
    </row>
    <row r="95">
      <c r="A95" s="16" t="n"/>
      <c r="B95" s="17">
        <f>IF(A95="","",CHOOSE(WEEKDAY(A95,2),"Pzt","Sal","Çar","Per","Cum","Cmt","Paz"))</f>
        <v/>
      </c>
      <c r="C95" s="18" t="n"/>
      <c r="D95" s="17" t="n"/>
      <c r="E95" s="17" t="n"/>
      <c r="F95" s="17" t="n"/>
      <c r="G95" s="17" t="n"/>
      <c r="H95" s="19">
        <f>IF(OR(A95="",C95=""),"",IF(WEEKDAY(A95,2)&gt;=6,UcretHaftaSonu,IF(OR(C95&gt;=AksamBas,C95&lt;TIME(6,0,0)),UcretAksam,UcretGunduz)))</f>
        <v/>
      </c>
      <c r="I95" s="19" t="n"/>
      <c r="J95" s="17" t="n"/>
      <c r="K95" s="19">
        <f>IF(H95="","",IF(J95="Evet",0,H95-N(I95)))</f>
        <v/>
      </c>
      <c r="L95" s="17" t="n"/>
      <c r="M95" s="17" t="n"/>
      <c r="N95">
        <f>IF(OR(A95="",C95="",D95="",L95="İptal"),"",IFERROR(INT(A95)*100000+ROUND(C95*1440,0)*10+MATCH(D95,Sahalar,0),""))</f>
        <v/>
      </c>
    </row>
    <row r="96">
      <c r="A96" s="16" t="n"/>
      <c r="B96" s="17">
        <f>IF(A96="","",CHOOSE(WEEKDAY(A96,2),"Pzt","Sal","Çar","Per","Cum","Cmt","Paz"))</f>
        <v/>
      </c>
      <c r="C96" s="18" t="n"/>
      <c r="D96" s="17" t="n"/>
      <c r="E96" s="17" t="n"/>
      <c r="F96" s="17" t="n"/>
      <c r="G96" s="17" t="n"/>
      <c r="H96" s="19">
        <f>IF(OR(A96="",C96=""),"",IF(WEEKDAY(A96,2)&gt;=6,UcretHaftaSonu,IF(OR(C96&gt;=AksamBas,C96&lt;TIME(6,0,0)),UcretAksam,UcretGunduz)))</f>
        <v/>
      </c>
      <c r="I96" s="19" t="n"/>
      <c r="J96" s="17" t="n"/>
      <c r="K96" s="19">
        <f>IF(H96="","",IF(J96="Evet",0,H96-N(I96)))</f>
        <v/>
      </c>
      <c r="L96" s="17" t="n"/>
      <c r="M96" s="17" t="n"/>
      <c r="N96">
        <f>IF(OR(A96="",C96="",D96="",L96="İptal"),"",IFERROR(INT(A96)*100000+ROUND(C96*1440,0)*10+MATCH(D96,Sahalar,0),""))</f>
        <v/>
      </c>
    </row>
    <row r="97">
      <c r="A97" s="16" t="n"/>
      <c r="B97" s="17">
        <f>IF(A97="","",CHOOSE(WEEKDAY(A97,2),"Pzt","Sal","Çar","Per","Cum","Cmt","Paz"))</f>
        <v/>
      </c>
      <c r="C97" s="18" t="n"/>
      <c r="D97" s="17" t="n"/>
      <c r="E97" s="17" t="n"/>
      <c r="F97" s="17" t="n"/>
      <c r="G97" s="17" t="n"/>
      <c r="H97" s="19">
        <f>IF(OR(A97="",C97=""),"",IF(WEEKDAY(A97,2)&gt;=6,UcretHaftaSonu,IF(OR(C97&gt;=AksamBas,C97&lt;TIME(6,0,0)),UcretAksam,UcretGunduz)))</f>
        <v/>
      </c>
      <c r="I97" s="19" t="n"/>
      <c r="J97" s="17" t="n"/>
      <c r="K97" s="19">
        <f>IF(H97="","",IF(J97="Evet",0,H97-N(I97)))</f>
        <v/>
      </c>
      <c r="L97" s="17" t="n"/>
      <c r="M97" s="17" t="n"/>
      <c r="N97">
        <f>IF(OR(A97="",C97="",D97="",L97="İptal"),"",IFERROR(INT(A97)*100000+ROUND(C97*1440,0)*10+MATCH(D97,Sahalar,0),""))</f>
        <v/>
      </c>
    </row>
    <row r="98">
      <c r="A98" s="16" t="n"/>
      <c r="B98" s="17">
        <f>IF(A98="","",CHOOSE(WEEKDAY(A98,2),"Pzt","Sal","Çar","Per","Cum","Cmt","Paz"))</f>
        <v/>
      </c>
      <c r="C98" s="18" t="n"/>
      <c r="D98" s="17" t="n"/>
      <c r="E98" s="17" t="n"/>
      <c r="F98" s="17" t="n"/>
      <c r="G98" s="17" t="n"/>
      <c r="H98" s="19">
        <f>IF(OR(A98="",C98=""),"",IF(WEEKDAY(A98,2)&gt;=6,UcretHaftaSonu,IF(OR(C98&gt;=AksamBas,C98&lt;TIME(6,0,0)),UcretAksam,UcretGunduz)))</f>
        <v/>
      </c>
      <c r="I98" s="19" t="n"/>
      <c r="J98" s="17" t="n"/>
      <c r="K98" s="19">
        <f>IF(H98="","",IF(J98="Evet",0,H98-N(I98)))</f>
        <v/>
      </c>
      <c r="L98" s="17" t="n"/>
      <c r="M98" s="17" t="n"/>
      <c r="N98">
        <f>IF(OR(A98="",C98="",D98="",L98="İptal"),"",IFERROR(INT(A98)*100000+ROUND(C98*1440,0)*10+MATCH(D98,Sahalar,0),""))</f>
        <v/>
      </c>
    </row>
    <row r="99">
      <c r="A99" s="16" t="n"/>
      <c r="B99" s="17">
        <f>IF(A99="","",CHOOSE(WEEKDAY(A99,2),"Pzt","Sal","Çar","Per","Cum","Cmt","Paz"))</f>
        <v/>
      </c>
      <c r="C99" s="18" t="n"/>
      <c r="D99" s="17" t="n"/>
      <c r="E99" s="17" t="n"/>
      <c r="F99" s="17" t="n"/>
      <c r="G99" s="17" t="n"/>
      <c r="H99" s="19">
        <f>IF(OR(A99="",C99=""),"",IF(WEEKDAY(A99,2)&gt;=6,UcretHaftaSonu,IF(OR(C99&gt;=AksamBas,C99&lt;TIME(6,0,0)),UcretAksam,UcretGunduz)))</f>
        <v/>
      </c>
      <c r="I99" s="19" t="n"/>
      <c r="J99" s="17" t="n"/>
      <c r="K99" s="19">
        <f>IF(H99="","",IF(J99="Evet",0,H99-N(I99)))</f>
        <v/>
      </c>
      <c r="L99" s="17" t="n"/>
      <c r="M99" s="17" t="n"/>
      <c r="N99">
        <f>IF(OR(A99="",C99="",D99="",L99="İptal"),"",IFERROR(INT(A99)*100000+ROUND(C99*1440,0)*10+MATCH(D99,Sahalar,0),""))</f>
        <v/>
      </c>
    </row>
    <row r="100">
      <c r="A100" s="16" t="n"/>
      <c r="B100" s="17">
        <f>IF(A100="","",CHOOSE(WEEKDAY(A100,2),"Pzt","Sal","Çar","Per","Cum","Cmt","Paz"))</f>
        <v/>
      </c>
      <c r="C100" s="18" t="n"/>
      <c r="D100" s="17" t="n"/>
      <c r="E100" s="17" t="n"/>
      <c r="F100" s="17" t="n"/>
      <c r="G100" s="17" t="n"/>
      <c r="H100" s="19">
        <f>IF(OR(A100="",C100=""),"",IF(WEEKDAY(A100,2)&gt;=6,UcretHaftaSonu,IF(OR(C100&gt;=AksamBas,C100&lt;TIME(6,0,0)),UcretAksam,UcretGunduz)))</f>
        <v/>
      </c>
      <c r="I100" s="19" t="n"/>
      <c r="J100" s="17" t="n"/>
      <c r="K100" s="19">
        <f>IF(H100="","",IF(J100="Evet",0,H100-N(I100)))</f>
        <v/>
      </c>
      <c r="L100" s="17" t="n"/>
      <c r="M100" s="17" t="n"/>
      <c r="N100">
        <f>IF(OR(A100="",C100="",D100="",L100="İptal"),"",IFERROR(INT(A100)*100000+ROUND(C100*1440,0)*10+MATCH(D100,Sahalar,0),""))</f>
        <v/>
      </c>
    </row>
    <row r="101">
      <c r="A101" s="16" t="n"/>
      <c r="B101" s="17">
        <f>IF(A101="","",CHOOSE(WEEKDAY(A101,2),"Pzt","Sal","Çar","Per","Cum","Cmt","Paz"))</f>
        <v/>
      </c>
      <c r="C101" s="18" t="n"/>
      <c r="D101" s="17" t="n"/>
      <c r="E101" s="17" t="n"/>
      <c r="F101" s="17" t="n"/>
      <c r="G101" s="17" t="n"/>
      <c r="H101" s="19">
        <f>IF(OR(A101="",C101=""),"",IF(WEEKDAY(A101,2)&gt;=6,UcretHaftaSonu,IF(OR(C101&gt;=AksamBas,C101&lt;TIME(6,0,0)),UcretAksam,UcretGunduz)))</f>
        <v/>
      </c>
      <c r="I101" s="19" t="n"/>
      <c r="J101" s="17" t="n"/>
      <c r="K101" s="19">
        <f>IF(H101="","",IF(J101="Evet",0,H101-N(I101)))</f>
        <v/>
      </c>
      <c r="L101" s="17" t="n"/>
      <c r="M101" s="17" t="n"/>
      <c r="N101">
        <f>IF(OR(A101="",C101="",D101="",L101="İptal"),"",IFERROR(INT(A101)*100000+ROUND(C101*1440,0)*10+MATCH(D101,Sahalar,0),""))</f>
        <v/>
      </c>
    </row>
    <row r="102">
      <c r="A102" s="16" t="n"/>
      <c r="B102" s="17">
        <f>IF(A102="","",CHOOSE(WEEKDAY(A102,2),"Pzt","Sal","Çar","Per","Cum","Cmt","Paz"))</f>
        <v/>
      </c>
      <c r="C102" s="18" t="n"/>
      <c r="D102" s="17" t="n"/>
      <c r="E102" s="17" t="n"/>
      <c r="F102" s="17" t="n"/>
      <c r="G102" s="17" t="n"/>
      <c r="H102" s="19">
        <f>IF(OR(A102="",C102=""),"",IF(WEEKDAY(A102,2)&gt;=6,UcretHaftaSonu,IF(OR(C102&gt;=AksamBas,C102&lt;TIME(6,0,0)),UcretAksam,UcretGunduz)))</f>
        <v/>
      </c>
      <c r="I102" s="19" t="n"/>
      <c r="J102" s="17" t="n"/>
      <c r="K102" s="19">
        <f>IF(H102="","",IF(J102="Evet",0,H102-N(I102)))</f>
        <v/>
      </c>
      <c r="L102" s="17" t="n"/>
      <c r="M102" s="17" t="n"/>
      <c r="N102">
        <f>IF(OR(A102="",C102="",D102="",L102="İptal"),"",IFERROR(INT(A102)*100000+ROUND(C102*1440,0)*10+MATCH(D102,Sahalar,0),""))</f>
        <v/>
      </c>
    </row>
    <row r="103">
      <c r="A103" s="16" t="n"/>
      <c r="B103" s="17">
        <f>IF(A103="","",CHOOSE(WEEKDAY(A103,2),"Pzt","Sal","Çar","Per","Cum","Cmt","Paz"))</f>
        <v/>
      </c>
      <c r="C103" s="18" t="n"/>
      <c r="D103" s="17" t="n"/>
      <c r="E103" s="17" t="n"/>
      <c r="F103" s="17" t="n"/>
      <c r="G103" s="17" t="n"/>
      <c r="H103" s="19">
        <f>IF(OR(A103="",C103=""),"",IF(WEEKDAY(A103,2)&gt;=6,UcretHaftaSonu,IF(OR(C103&gt;=AksamBas,C103&lt;TIME(6,0,0)),UcretAksam,UcretGunduz)))</f>
        <v/>
      </c>
      <c r="I103" s="19" t="n"/>
      <c r="J103" s="17" t="n"/>
      <c r="K103" s="19">
        <f>IF(H103="","",IF(J103="Evet",0,H103-N(I103)))</f>
        <v/>
      </c>
      <c r="L103" s="17" t="n"/>
      <c r="M103" s="17" t="n"/>
      <c r="N103">
        <f>IF(OR(A103="",C103="",D103="",L103="İptal"),"",IFERROR(INT(A103)*100000+ROUND(C103*1440,0)*10+MATCH(D103,Sahalar,0),""))</f>
        <v/>
      </c>
    </row>
    <row r="104">
      <c r="A104" s="16" t="n"/>
      <c r="B104" s="17">
        <f>IF(A104="","",CHOOSE(WEEKDAY(A104,2),"Pzt","Sal","Çar","Per","Cum","Cmt","Paz"))</f>
        <v/>
      </c>
      <c r="C104" s="18" t="n"/>
      <c r="D104" s="17" t="n"/>
      <c r="E104" s="17" t="n"/>
      <c r="F104" s="17" t="n"/>
      <c r="G104" s="17" t="n"/>
      <c r="H104" s="19">
        <f>IF(OR(A104="",C104=""),"",IF(WEEKDAY(A104,2)&gt;=6,UcretHaftaSonu,IF(OR(C104&gt;=AksamBas,C104&lt;TIME(6,0,0)),UcretAksam,UcretGunduz)))</f>
        <v/>
      </c>
      <c r="I104" s="19" t="n"/>
      <c r="J104" s="17" t="n"/>
      <c r="K104" s="19">
        <f>IF(H104="","",IF(J104="Evet",0,H104-N(I104)))</f>
        <v/>
      </c>
      <c r="L104" s="17" t="n"/>
      <c r="M104" s="17" t="n"/>
      <c r="N104">
        <f>IF(OR(A104="",C104="",D104="",L104="İptal"),"",IFERROR(INT(A104)*100000+ROUND(C104*1440,0)*10+MATCH(D104,Sahalar,0),""))</f>
        <v/>
      </c>
    </row>
    <row r="105">
      <c r="A105" s="16" t="n"/>
      <c r="B105" s="17">
        <f>IF(A105="","",CHOOSE(WEEKDAY(A105,2),"Pzt","Sal","Çar","Per","Cum","Cmt","Paz"))</f>
        <v/>
      </c>
      <c r="C105" s="18" t="n"/>
      <c r="D105" s="17" t="n"/>
      <c r="E105" s="17" t="n"/>
      <c r="F105" s="17" t="n"/>
      <c r="G105" s="17" t="n"/>
      <c r="H105" s="19">
        <f>IF(OR(A105="",C105=""),"",IF(WEEKDAY(A105,2)&gt;=6,UcretHaftaSonu,IF(OR(C105&gt;=AksamBas,C105&lt;TIME(6,0,0)),UcretAksam,UcretGunduz)))</f>
        <v/>
      </c>
      <c r="I105" s="19" t="n"/>
      <c r="J105" s="17" t="n"/>
      <c r="K105" s="19">
        <f>IF(H105="","",IF(J105="Evet",0,H105-N(I105)))</f>
        <v/>
      </c>
      <c r="L105" s="17" t="n"/>
      <c r="M105" s="17" t="n"/>
      <c r="N105">
        <f>IF(OR(A105="",C105="",D105="",L105="İptal"),"",IFERROR(INT(A105)*100000+ROUND(C105*1440,0)*10+MATCH(D105,Sahalar,0),""))</f>
        <v/>
      </c>
    </row>
    <row r="106">
      <c r="A106" s="16" t="n"/>
      <c r="B106" s="17">
        <f>IF(A106="","",CHOOSE(WEEKDAY(A106,2),"Pzt","Sal","Çar","Per","Cum","Cmt","Paz"))</f>
        <v/>
      </c>
      <c r="C106" s="18" t="n"/>
      <c r="D106" s="17" t="n"/>
      <c r="E106" s="17" t="n"/>
      <c r="F106" s="17" t="n"/>
      <c r="G106" s="17" t="n"/>
      <c r="H106" s="19">
        <f>IF(OR(A106="",C106=""),"",IF(WEEKDAY(A106,2)&gt;=6,UcretHaftaSonu,IF(OR(C106&gt;=AksamBas,C106&lt;TIME(6,0,0)),UcretAksam,UcretGunduz)))</f>
        <v/>
      </c>
      <c r="I106" s="19" t="n"/>
      <c r="J106" s="17" t="n"/>
      <c r="K106" s="19">
        <f>IF(H106="","",IF(J106="Evet",0,H106-N(I106)))</f>
        <v/>
      </c>
      <c r="L106" s="17" t="n"/>
      <c r="M106" s="17" t="n"/>
      <c r="N106">
        <f>IF(OR(A106="",C106="",D106="",L106="İptal"),"",IFERROR(INT(A106)*100000+ROUND(C106*1440,0)*10+MATCH(D106,Sahalar,0),""))</f>
        <v/>
      </c>
    </row>
    <row r="107">
      <c r="A107" s="16" t="n"/>
      <c r="B107" s="17">
        <f>IF(A107="","",CHOOSE(WEEKDAY(A107,2),"Pzt","Sal","Çar","Per","Cum","Cmt","Paz"))</f>
        <v/>
      </c>
      <c r="C107" s="18" t="n"/>
      <c r="D107" s="17" t="n"/>
      <c r="E107" s="17" t="n"/>
      <c r="F107" s="17" t="n"/>
      <c r="G107" s="17" t="n"/>
      <c r="H107" s="19">
        <f>IF(OR(A107="",C107=""),"",IF(WEEKDAY(A107,2)&gt;=6,UcretHaftaSonu,IF(OR(C107&gt;=AksamBas,C107&lt;TIME(6,0,0)),UcretAksam,UcretGunduz)))</f>
        <v/>
      </c>
      <c r="I107" s="19" t="n"/>
      <c r="J107" s="17" t="n"/>
      <c r="K107" s="19">
        <f>IF(H107="","",IF(J107="Evet",0,H107-N(I107)))</f>
        <v/>
      </c>
      <c r="L107" s="17" t="n"/>
      <c r="M107" s="17" t="n"/>
      <c r="N107">
        <f>IF(OR(A107="",C107="",D107="",L107="İptal"),"",IFERROR(INT(A107)*100000+ROUND(C107*1440,0)*10+MATCH(D107,Sahalar,0),""))</f>
        <v/>
      </c>
    </row>
    <row r="108">
      <c r="A108" s="16" t="n"/>
      <c r="B108" s="17">
        <f>IF(A108="","",CHOOSE(WEEKDAY(A108,2),"Pzt","Sal","Çar","Per","Cum","Cmt","Paz"))</f>
        <v/>
      </c>
      <c r="C108" s="18" t="n"/>
      <c r="D108" s="17" t="n"/>
      <c r="E108" s="17" t="n"/>
      <c r="F108" s="17" t="n"/>
      <c r="G108" s="17" t="n"/>
      <c r="H108" s="19">
        <f>IF(OR(A108="",C108=""),"",IF(WEEKDAY(A108,2)&gt;=6,UcretHaftaSonu,IF(OR(C108&gt;=AksamBas,C108&lt;TIME(6,0,0)),UcretAksam,UcretGunduz)))</f>
        <v/>
      </c>
      <c r="I108" s="19" t="n"/>
      <c r="J108" s="17" t="n"/>
      <c r="K108" s="19">
        <f>IF(H108="","",IF(J108="Evet",0,H108-N(I108)))</f>
        <v/>
      </c>
      <c r="L108" s="17" t="n"/>
      <c r="M108" s="17" t="n"/>
      <c r="N108">
        <f>IF(OR(A108="",C108="",D108="",L108="İptal"),"",IFERROR(INT(A108)*100000+ROUND(C108*1440,0)*10+MATCH(D108,Sahalar,0),""))</f>
        <v/>
      </c>
    </row>
    <row r="109">
      <c r="A109" s="16" t="n"/>
      <c r="B109" s="17">
        <f>IF(A109="","",CHOOSE(WEEKDAY(A109,2),"Pzt","Sal","Çar","Per","Cum","Cmt","Paz"))</f>
        <v/>
      </c>
      <c r="C109" s="18" t="n"/>
      <c r="D109" s="17" t="n"/>
      <c r="E109" s="17" t="n"/>
      <c r="F109" s="17" t="n"/>
      <c r="G109" s="17" t="n"/>
      <c r="H109" s="19">
        <f>IF(OR(A109="",C109=""),"",IF(WEEKDAY(A109,2)&gt;=6,UcretHaftaSonu,IF(OR(C109&gt;=AksamBas,C109&lt;TIME(6,0,0)),UcretAksam,UcretGunduz)))</f>
        <v/>
      </c>
      <c r="I109" s="19" t="n"/>
      <c r="J109" s="17" t="n"/>
      <c r="K109" s="19">
        <f>IF(H109="","",IF(J109="Evet",0,H109-N(I109)))</f>
        <v/>
      </c>
      <c r="L109" s="17" t="n"/>
      <c r="M109" s="17" t="n"/>
      <c r="N109">
        <f>IF(OR(A109="",C109="",D109="",L109="İptal"),"",IFERROR(INT(A109)*100000+ROUND(C109*1440,0)*10+MATCH(D109,Sahalar,0),""))</f>
        <v/>
      </c>
    </row>
    <row r="110">
      <c r="A110" s="16" t="n"/>
      <c r="B110" s="17">
        <f>IF(A110="","",CHOOSE(WEEKDAY(A110,2),"Pzt","Sal","Çar","Per","Cum","Cmt","Paz"))</f>
        <v/>
      </c>
      <c r="C110" s="18" t="n"/>
      <c r="D110" s="17" t="n"/>
      <c r="E110" s="17" t="n"/>
      <c r="F110" s="17" t="n"/>
      <c r="G110" s="17" t="n"/>
      <c r="H110" s="19">
        <f>IF(OR(A110="",C110=""),"",IF(WEEKDAY(A110,2)&gt;=6,UcretHaftaSonu,IF(OR(C110&gt;=AksamBas,C110&lt;TIME(6,0,0)),UcretAksam,UcretGunduz)))</f>
        <v/>
      </c>
      <c r="I110" s="19" t="n"/>
      <c r="J110" s="17" t="n"/>
      <c r="K110" s="19">
        <f>IF(H110="","",IF(J110="Evet",0,H110-N(I110)))</f>
        <v/>
      </c>
      <c r="L110" s="17" t="n"/>
      <c r="M110" s="17" t="n"/>
      <c r="N110">
        <f>IF(OR(A110="",C110="",D110="",L110="İptal"),"",IFERROR(INT(A110)*100000+ROUND(C110*1440,0)*10+MATCH(D110,Sahalar,0),""))</f>
        <v/>
      </c>
    </row>
    <row r="111">
      <c r="A111" s="16" t="n"/>
      <c r="B111" s="17">
        <f>IF(A111="","",CHOOSE(WEEKDAY(A111,2),"Pzt","Sal","Çar","Per","Cum","Cmt","Paz"))</f>
        <v/>
      </c>
      <c r="C111" s="18" t="n"/>
      <c r="D111" s="17" t="n"/>
      <c r="E111" s="17" t="n"/>
      <c r="F111" s="17" t="n"/>
      <c r="G111" s="17" t="n"/>
      <c r="H111" s="19">
        <f>IF(OR(A111="",C111=""),"",IF(WEEKDAY(A111,2)&gt;=6,UcretHaftaSonu,IF(OR(C111&gt;=AksamBas,C111&lt;TIME(6,0,0)),UcretAksam,UcretGunduz)))</f>
        <v/>
      </c>
      <c r="I111" s="19" t="n"/>
      <c r="J111" s="17" t="n"/>
      <c r="K111" s="19">
        <f>IF(H111="","",IF(J111="Evet",0,H111-N(I111)))</f>
        <v/>
      </c>
      <c r="L111" s="17" t="n"/>
      <c r="M111" s="17" t="n"/>
      <c r="N111">
        <f>IF(OR(A111="",C111="",D111="",L111="İptal"),"",IFERROR(INT(A111)*100000+ROUND(C111*1440,0)*10+MATCH(D111,Sahalar,0),""))</f>
        <v/>
      </c>
    </row>
    <row r="112">
      <c r="A112" s="16" t="n"/>
      <c r="B112" s="17">
        <f>IF(A112="","",CHOOSE(WEEKDAY(A112,2),"Pzt","Sal","Çar","Per","Cum","Cmt","Paz"))</f>
        <v/>
      </c>
      <c r="C112" s="18" t="n"/>
      <c r="D112" s="17" t="n"/>
      <c r="E112" s="17" t="n"/>
      <c r="F112" s="17" t="n"/>
      <c r="G112" s="17" t="n"/>
      <c r="H112" s="19">
        <f>IF(OR(A112="",C112=""),"",IF(WEEKDAY(A112,2)&gt;=6,UcretHaftaSonu,IF(OR(C112&gt;=AksamBas,C112&lt;TIME(6,0,0)),UcretAksam,UcretGunduz)))</f>
        <v/>
      </c>
      <c r="I112" s="19" t="n"/>
      <c r="J112" s="17" t="n"/>
      <c r="K112" s="19">
        <f>IF(H112="","",IF(J112="Evet",0,H112-N(I112)))</f>
        <v/>
      </c>
      <c r="L112" s="17" t="n"/>
      <c r="M112" s="17" t="n"/>
      <c r="N112">
        <f>IF(OR(A112="",C112="",D112="",L112="İptal"),"",IFERROR(INT(A112)*100000+ROUND(C112*1440,0)*10+MATCH(D112,Sahalar,0),""))</f>
        <v/>
      </c>
    </row>
    <row r="113">
      <c r="A113" s="16" t="n"/>
      <c r="B113" s="17">
        <f>IF(A113="","",CHOOSE(WEEKDAY(A113,2),"Pzt","Sal","Çar","Per","Cum","Cmt","Paz"))</f>
        <v/>
      </c>
      <c r="C113" s="18" t="n"/>
      <c r="D113" s="17" t="n"/>
      <c r="E113" s="17" t="n"/>
      <c r="F113" s="17" t="n"/>
      <c r="G113" s="17" t="n"/>
      <c r="H113" s="19">
        <f>IF(OR(A113="",C113=""),"",IF(WEEKDAY(A113,2)&gt;=6,UcretHaftaSonu,IF(OR(C113&gt;=AksamBas,C113&lt;TIME(6,0,0)),UcretAksam,UcretGunduz)))</f>
        <v/>
      </c>
      <c r="I113" s="19" t="n"/>
      <c r="J113" s="17" t="n"/>
      <c r="K113" s="19">
        <f>IF(H113="","",IF(J113="Evet",0,H113-N(I113)))</f>
        <v/>
      </c>
      <c r="L113" s="17" t="n"/>
      <c r="M113" s="17" t="n"/>
      <c r="N113">
        <f>IF(OR(A113="",C113="",D113="",L113="İptal"),"",IFERROR(INT(A113)*100000+ROUND(C113*1440,0)*10+MATCH(D113,Sahalar,0),""))</f>
        <v/>
      </c>
    </row>
    <row r="114">
      <c r="A114" s="16" t="n"/>
      <c r="B114" s="17">
        <f>IF(A114="","",CHOOSE(WEEKDAY(A114,2),"Pzt","Sal","Çar","Per","Cum","Cmt","Paz"))</f>
        <v/>
      </c>
      <c r="C114" s="18" t="n"/>
      <c r="D114" s="17" t="n"/>
      <c r="E114" s="17" t="n"/>
      <c r="F114" s="17" t="n"/>
      <c r="G114" s="17" t="n"/>
      <c r="H114" s="19">
        <f>IF(OR(A114="",C114=""),"",IF(WEEKDAY(A114,2)&gt;=6,UcretHaftaSonu,IF(OR(C114&gt;=AksamBas,C114&lt;TIME(6,0,0)),UcretAksam,UcretGunduz)))</f>
        <v/>
      </c>
      <c r="I114" s="19" t="n"/>
      <c r="J114" s="17" t="n"/>
      <c r="K114" s="19">
        <f>IF(H114="","",IF(J114="Evet",0,H114-N(I114)))</f>
        <v/>
      </c>
      <c r="L114" s="17" t="n"/>
      <c r="M114" s="17" t="n"/>
      <c r="N114">
        <f>IF(OR(A114="",C114="",D114="",L114="İptal"),"",IFERROR(INT(A114)*100000+ROUND(C114*1440,0)*10+MATCH(D114,Sahalar,0),""))</f>
        <v/>
      </c>
    </row>
    <row r="115">
      <c r="A115" s="16" t="n"/>
      <c r="B115" s="17">
        <f>IF(A115="","",CHOOSE(WEEKDAY(A115,2),"Pzt","Sal","Çar","Per","Cum","Cmt","Paz"))</f>
        <v/>
      </c>
      <c r="C115" s="18" t="n"/>
      <c r="D115" s="17" t="n"/>
      <c r="E115" s="17" t="n"/>
      <c r="F115" s="17" t="n"/>
      <c r="G115" s="17" t="n"/>
      <c r="H115" s="19">
        <f>IF(OR(A115="",C115=""),"",IF(WEEKDAY(A115,2)&gt;=6,UcretHaftaSonu,IF(OR(C115&gt;=AksamBas,C115&lt;TIME(6,0,0)),UcretAksam,UcretGunduz)))</f>
        <v/>
      </c>
      <c r="I115" s="19" t="n"/>
      <c r="J115" s="17" t="n"/>
      <c r="K115" s="19">
        <f>IF(H115="","",IF(J115="Evet",0,H115-N(I115)))</f>
        <v/>
      </c>
      <c r="L115" s="17" t="n"/>
      <c r="M115" s="17" t="n"/>
      <c r="N115">
        <f>IF(OR(A115="",C115="",D115="",L115="İptal"),"",IFERROR(INT(A115)*100000+ROUND(C115*1440,0)*10+MATCH(D115,Sahalar,0),""))</f>
        <v/>
      </c>
    </row>
    <row r="116">
      <c r="A116" s="16" t="n"/>
      <c r="B116" s="17">
        <f>IF(A116="","",CHOOSE(WEEKDAY(A116,2),"Pzt","Sal","Çar","Per","Cum","Cmt","Paz"))</f>
        <v/>
      </c>
      <c r="C116" s="18" t="n"/>
      <c r="D116" s="17" t="n"/>
      <c r="E116" s="17" t="n"/>
      <c r="F116" s="17" t="n"/>
      <c r="G116" s="17" t="n"/>
      <c r="H116" s="19">
        <f>IF(OR(A116="",C116=""),"",IF(WEEKDAY(A116,2)&gt;=6,UcretHaftaSonu,IF(OR(C116&gt;=AksamBas,C116&lt;TIME(6,0,0)),UcretAksam,UcretGunduz)))</f>
        <v/>
      </c>
      <c r="I116" s="19" t="n"/>
      <c r="J116" s="17" t="n"/>
      <c r="K116" s="19">
        <f>IF(H116="","",IF(J116="Evet",0,H116-N(I116)))</f>
        <v/>
      </c>
      <c r="L116" s="17" t="n"/>
      <c r="M116" s="17" t="n"/>
      <c r="N116">
        <f>IF(OR(A116="",C116="",D116="",L116="İptal"),"",IFERROR(INT(A116)*100000+ROUND(C116*1440,0)*10+MATCH(D116,Sahalar,0),""))</f>
        <v/>
      </c>
    </row>
    <row r="117">
      <c r="A117" s="16" t="n"/>
      <c r="B117" s="17">
        <f>IF(A117="","",CHOOSE(WEEKDAY(A117,2),"Pzt","Sal","Çar","Per","Cum","Cmt","Paz"))</f>
        <v/>
      </c>
      <c r="C117" s="18" t="n"/>
      <c r="D117" s="17" t="n"/>
      <c r="E117" s="17" t="n"/>
      <c r="F117" s="17" t="n"/>
      <c r="G117" s="17" t="n"/>
      <c r="H117" s="19">
        <f>IF(OR(A117="",C117=""),"",IF(WEEKDAY(A117,2)&gt;=6,UcretHaftaSonu,IF(OR(C117&gt;=AksamBas,C117&lt;TIME(6,0,0)),UcretAksam,UcretGunduz)))</f>
        <v/>
      </c>
      <c r="I117" s="19" t="n"/>
      <c r="J117" s="17" t="n"/>
      <c r="K117" s="19">
        <f>IF(H117="","",IF(J117="Evet",0,H117-N(I117)))</f>
        <v/>
      </c>
      <c r="L117" s="17" t="n"/>
      <c r="M117" s="17" t="n"/>
      <c r="N117">
        <f>IF(OR(A117="",C117="",D117="",L117="İptal"),"",IFERROR(INT(A117)*100000+ROUND(C117*1440,0)*10+MATCH(D117,Sahalar,0),""))</f>
        <v/>
      </c>
    </row>
    <row r="118">
      <c r="A118" s="16" t="n"/>
      <c r="B118" s="17">
        <f>IF(A118="","",CHOOSE(WEEKDAY(A118,2),"Pzt","Sal","Çar","Per","Cum","Cmt","Paz"))</f>
        <v/>
      </c>
      <c r="C118" s="18" t="n"/>
      <c r="D118" s="17" t="n"/>
      <c r="E118" s="17" t="n"/>
      <c r="F118" s="17" t="n"/>
      <c r="G118" s="17" t="n"/>
      <c r="H118" s="19">
        <f>IF(OR(A118="",C118=""),"",IF(WEEKDAY(A118,2)&gt;=6,UcretHaftaSonu,IF(OR(C118&gt;=AksamBas,C118&lt;TIME(6,0,0)),UcretAksam,UcretGunduz)))</f>
        <v/>
      </c>
      <c r="I118" s="19" t="n"/>
      <c r="J118" s="17" t="n"/>
      <c r="K118" s="19">
        <f>IF(H118="","",IF(J118="Evet",0,H118-N(I118)))</f>
        <v/>
      </c>
      <c r="L118" s="17" t="n"/>
      <c r="M118" s="17" t="n"/>
      <c r="N118">
        <f>IF(OR(A118="",C118="",D118="",L118="İptal"),"",IFERROR(INT(A118)*100000+ROUND(C118*1440,0)*10+MATCH(D118,Sahalar,0),""))</f>
        <v/>
      </c>
    </row>
    <row r="119">
      <c r="A119" s="16" t="n"/>
      <c r="B119" s="17">
        <f>IF(A119="","",CHOOSE(WEEKDAY(A119,2),"Pzt","Sal","Çar","Per","Cum","Cmt","Paz"))</f>
        <v/>
      </c>
      <c r="C119" s="18" t="n"/>
      <c r="D119" s="17" t="n"/>
      <c r="E119" s="17" t="n"/>
      <c r="F119" s="17" t="n"/>
      <c r="G119" s="17" t="n"/>
      <c r="H119" s="19">
        <f>IF(OR(A119="",C119=""),"",IF(WEEKDAY(A119,2)&gt;=6,UcretHaftaSonu,IF(OR(C119&gt;=AksamBas,C119&lt;TIME(6,0,0)),UcretAksam,UcretGunduz)))</f>
        <v/>
      </c>
      <c r="I119" s="19" t="n"/>
      <c r="J119" s="17" t="n"/>
      <c r="K119" s="19">
        <f>IF(H119="","",IF(J119="Evet",0,H119-N(I119)))</f>
        <v/>
      </c>
      <c r="L119" s="17" t="n"/>
      <c r="M119" s="17" t="n"/>
      <c r="N119">
        <f>IF(OR(A119="",C119="",D119="",L119="İptal"),"",IFERROR(INT(A119)*100000+ROUND(C119*1440,0)*10+MATCH(D119,Sahalar,0),""))</f>
        <v/>
      </c>
    </row>
    <row r="120">
      <c r="A120" s="16" t="n"/>
      <c r="B120" s="17">
        <f>IF(A120="","",CHOOSE(WEEKDAY(A120,2),"Pzt","Sal","Çar","Per","Cum","Cmt","Paz"))</f>
        <v/>
      </c>
      <c r="C120" s="18" t="n"/>
      <c r="D120" s="17" t="n"/>
      <c r="E120" s="17" t="n"/>
      <c r="F120" s="17" t="n"/>
      <c r="G120" s="17" t="n"/>
      <c r="H120" s="19">
        <f>IF(OR(A120="",C120=""),"",IF(WEEKDAY(A120,2)&gt;=6,UcretHaftaSonu,IF(OR(C120&gt;=AksamBas,C120&lt;TIME(6,0,0)),UcretAksam,UcretGunduz)))</f>
        <v/>
      </c>
      <c r="I120" s="19" t="n"/>
      <c r="J120" s="17" t="n"/>
      <c r="K120" s="19">
        <f>IF(H120="","",IF(J120="Evet",0,H120-N(I120)))</f>
        <v/>
      </c>
      <c r="L120" s="17" t="n"/>
      <c r="M120" s="17" t="n"/>
      <c r="N120">
        <f>IF(OR(A120="",C120="",D120="",L120="İptal"),"",IFERROR(INT(A120)*100000+ROUND(C120*1440,0)*10+MATCH(D120,Sahalar,0),""))</f>
        <v/>
      </c>
    </row>
    <row r="121">
      <c r="A121" s="16" t="n"/>
      <c r="B121" s="17">
        <f>IF(A121="","",CHOOSE(WEEKDAY(A121,2),"Pzt","Sal","Çar","Per","Cum","Cmt","Paz"))</f>
        <v/>
      </c>
      <c r="C121" s="18" t="n"/>
      <c r="D121" s="17" t="n"/>
      <c r="E121" s="17" t="n"/>
      <c r="F121" s="17" t="n"/>
      <c r="G121" s="17" t="n"/>
      <c r="H121" s="19">
        <f>IF(OR(A121="",C121=""),"",IF(WEEKDAY(A121,2)&gt;=6,UcretHaftaSonu,IF(OR(C121&gt;=AksamBas,C121&lt;TIME(6,0,0)),UcretAksam,UcretGunduz)))</f>
        <v/>
      </c>
      <c r="I121" s="19" t="n"/>
      <c r="J121" s="17" t="n"/>
      <c r="K121" s="19">
        <f>IF(H121="","",IF(J121="Evet",0,H121-N(I121)))</f>
        <v/>
      </c>
      <c r="L121" s="17" t="n"/>
      <c r="M121" s="17" t="n"/>
      <c r="N121">
        <f>IF(OR(A121="",C121="",D121="",L121="İptal"),"",IFERROR(INT(A121)*100000+ROUND(C121*1440,0)*10+MATCH(D121,Sahalar,0),""))</f>
        <v/>
      </c>
    </row>
    <row r="122">
      <c r="A122" s="16" t="n"/>
      <c r="B122" s="17">
        <f>IF(A122="","",CHOOSE(WEEKDAY(A122,2),"Pzt","Sal","Çar","Per","Cum","Cmt","Paz"))</f>
        <v/>
      </c>
      <c r="C122" s="18" t="n"/>
      <c r="D122" s="17" t="n"/>
      <c r="E122" s="17" t="n"/>
      <c r="F122" s="17" t="n"/>
      <c r="G122" s="17" t="n"/>
      <c r="H122" s="19">
        <f>IF(OR(A122="",C122=""),"",IF(WEEKDAY(A122,2)&gt;=6,UcretHaftaSonu,IF(OR(C122&gt;=AksamBas,C122&lt;TIME(6,0,0)),UcretAksam,UcretGunduz)))</f>
        <v/>
      </c>
      <c r="I122" s="19" t="n"/>
      <c r="J122" s="17" t="n"/>
      <c r="K122" s="19">
        <f>IF(H122="","",IF(J122="Evet",0,H122-N(I122)))</f>
        <v/>
      </c>
      <c r="L122" s="17" t="n"/>
      <c r="M122" s="17" t="n"/>
      <c r="N122">
        <f>IF(OR(A122="",C122="",D122="",L122="İptal"),"",IFERROR(INT(A122)*100000+ROUND(C122*1440,0)*10+MATCH(D122,Sahalar,0),""))</f>
        <v/>
      </c>
    </row>
    <row r="123">
      <c r="A123" s="16" t="n"/>
      <c r="B123" s="17">
        <f>IF(A123="","",CHOOSE(WEEKDAY(A123,2),"Pzt","Sal","Çar","Per","Cum","Cmt","Paz"))</f>
        <v/>
      </c>
      <c r="C123" s="18" t="n"/>
      <c r="D123" s="17" t="n"/>
      <c r="E123" s="17" t="n"/>
      <c r="F123" s="17" t="n"/>
      <c r="G123" s="17" t="n"/>
      <c r="H123" s="19">
        <f>IF(OR(A123="",C123=""),"",IF(WEEKDAY(A123,2)&gt;=6,UcretHaftaSonu,IF(OR(C123&gt;=AksamBas,C123&lt;TIME(6,0,0)),UcretAksam,UcretGunduz)))</f>
        <v/>
      </c>
      <c r="I123" s="19" t="n"/>
      <c r="J123" s="17" t="n"/>
      <c r="K123" s="19">
        <f>IF(H123="","",IF(J123="Evet",0,H123-N(I123)))</f>
        <v/>
      </c>
      <c r="L123" s="17" t="n"/>
      <c r="M123" s="17" t="n"/>
      <c r="N123">
        <f>IF(OR(A123="",C123="",D123="",L123="İptal"),"",IFERROR(INT(A123)*100000+ROUND(C123*1440,0)*10+MATCH(D123,Sahalar,0),""))</f>
        <v/>
      </c>
    </row>
    <row r="124">
      <c r="A124" s="16" t="n"/>
      <c r="B124" s="17">
        <f>IF(A124="","",CHOOSE(WEEKDAY(A124,2),"Pzt","Sal","Çar","Per","Cum","Cmt","Paz"))</f>
        <v/>
      </c>
      <c r="C124" s="18" t="n"/>
      <c r="D124" s="17" t="n"/>
      <c r="E124" s="17" t="n"/>
      <c r="F124" s="17" t="n"/>
      <c r="G124" s="17" t="n"/>
      <c r="H124" s="19">
        <f>IF(OR(A124="",C124=""),"",IF(WEEKDAY(A124,2)&gt;=6,UcretHaftaSonu,IF(OR(C124&gt;=AksamBas,C124&lt;TIME(6,0,0)),UcretAksam,UcretGunduz)))</f>
        <v/>
      </c>
      <c r="I124" s="19" t="n"/>
      <c r="J124" s="17" t="n"/>
      <c r="K124" s="19">
        <f>IF(H124="","",IF(J124="Evet",0,H124-N(I124)))</f>
        <v/>
      </c>
      <c r="L124" s="17" t="n"/>
      <c r="M124" s="17" t="n"/>
      <c r="N124">
        <f>IF(OR(A124="",C124="",D124="",L124="İptal"),"",IFERROR(INT(A124)*100000+ROUND(C124*1440,0)*10+MATCH(D124,Sahalar,0),""))</f>
        <v/>
      </c>
    </row>
    <row r="125">
      <c r="A125" s="16" t="n"/>
      <c r="B125" s="17">
        <f>IF(A125="","",CHOOSE(WEEKDAY(A125,2),"Pzt","Sal","Çar","Per","Cum","Cmt","Paz"))</f>
        <v/>
      </c>
      <c r="C125" s="18" t="n"/>
      <c r="D125" s="17" t="n"/>
      <c r="E125" s="17" t="n"/>
      <c r="F125" s="17" t="n"/>
      <c r="G125" s="17" t="n"/>
      <c r="H125" s="19">
        <f>IF(OR(A125="",C125=""),"",IF(WEEKDAY(A125,2)&gt;=6,UcretHaftaSonu,IF(OR(C125&gt;=AksamBas,C125&lt;TIME(6,0,0)),UcretAksam,UcretGunduz)))</f>
        <v/>
      </c>
      <c r="I125" s="19" t="n"/>
      <c r="J125" s="17" t="n"/>
      <c r="K125" s="19">
        <f>IF(H125="","",IF(J125="Evet",0,H125-N(I125)))</f>
        <v/>
      </c>
      <c r="L125" s="17" t="n"/>
      <c r="M125" s="17" t="n"/>
      <c r="N125">
        <f>IF(OR(A125="",C125="",D125="",L125="İptal"),"",IFERROR(INT(A125)*100000+ROUND(C125*1440,0)*10+MATCH(D125,Sahalar,0),""))</f>
        <v/>
      </c>
    </row>
    <row r="126">
      <c r="A126" s="16" t="n"/>
      <c r="B126" s="17">
        <f>IF(A126="","",CHOOSE(WEEKDAY(A126,2),"Pzt","Sal","Çar","Per","Cum","Cmt","Paz"))</f>
        <v/>
      </c>
      <c r="C126" s="18" t="n"/>
      <c r="D126" s="17" t="n"/>
      <c r="E126" s="17" t="n"/>
      <c r="F126" s="17" t="n"/>
      <c r="G126" s="17" t="n"/>
      <c r="H126" s="19">
        <f>IF(OR(A126="",C126=""),"",IF(WEEKDAY(A126,2)&gt;=6,UcretHaftaSonu,IF(OR(C126&gt;=AksamBas,C126&lt;TIME(6,0,0)),UcretAksam,UcretGunduz)))</f>
        <v/>
      </c>
      <c r="I126" s="19" t="n"/>
      <c r="J126" s="17" t="n"/>
      <c r="K126" s="19">
        <f>IF(H126="","",IF(J126="Evet",0,H126-N(I126)))</f>
        <v/>
      </c>
      <c r="L126" s="17" t="n"/>
      <c r="M126" s="17" t="n"/>
      <c r="N126">
        <f>IF(OR(A126="",C126="",D126="",L126="İptal"),"",IFERROR(INT(A126)*100000+ROUND(C126*1440,0)*10+MATCH(D126,Sahalar,0),""))</f>
        <v/>
      </c>
    </row>
    <row r="127">
      <c r="A127" s="16" t="n"/>
      <c r="B127" s="17">
        <f>IF(A127="","",CHOOSE(WEEKDAY(A127,2),"Pzt","Sal","Çar","Per","Cum","Cmt","Paz"))</f>
        <v/>
      </c>
      <c r="C127" s="18" t="n"/>
      <c r="D127" s="17" t="n"/>
      <c r="E127" s="17" t="n"/>
      <c r="F127" s="17" t="n"/>
      <c r="G127" s="17" t="n"/>
      <c r="H127" s="19">
        <f>IF(OR(A127="",C127=""),"",IF(WEEKDAY(A127,2)&gt;=6,UcretHaftaSonu,IF(OR(C127&gt;=AksamBas,C127&lt;TIME(6,0,0)),UcretAksam,UcretGunduz)))</f>
        <v/>
      </c>
      <c r="I127" s="19" t="n"/>
      <c r="J127" s="17" t="n"/>
      <c r="K127" s="19">
        <f>IF(H127="","",IF(J127="Evet",0,H127-N(I127)))</f>
        <v/>
      </c>
      <c r="L127" s="17" t="n"/>
      <c r="M127" s="17" t="n"/>
      <c r="N127">
        <f>IF(OR(A127="",C127="",D127="",L127="İptal"),"",IFERROR(INT(A127)*100000+ROUND(C127*1440,0)*10+MATCH(D127,Sahalar,0),""))</f>
        <v/>
      </c>
    </row>
    <row r="128">
      <c r="A128" s="16" t="n"/>
      <c r="B128" s="17">
        <f>IF(A128="","",CHOOSE(WEEKDAY(A128,2),"Pzt","Sal","Çar","Per","Cum","Cmt","Paz"))</f>
        <v/>
      </c>
      <c r="C128" s="18" t="n"/>
      <c r="D128" s="17" t="n"/>
      <c r="E128" s="17" t="n"/>
      <c r="F128" s="17" t="n"/>
      <c r="G128" s="17" t="n"/>
      <c r="H128" s="19">
        <f>IF(OR(A128="",C128=""),"",IF(WEEKDAY(A128,2)&gt;=6,UcretHaftaSonu,IF(OR(C128&gt;=AksamBas,C128&lt;TIME(6,0,0)),UcretAksam,UcretGunduz)))</f>
        <v/>
      </c>
      <c r="I128" s="19" t="n"/>
      <c r="J128" s="17" t="n"/>
      <c r="K128" s="19">
        <f>IF(H128="","",IF(J128="Evet",0,H128-N(I128)))</f>
        <v/>
      </c>
      <c r="L128" s="17" t="n"/>
      <c r="M128" s="17" t="n"/>
      <c r="N128">
        <f>IF(OR(A128="",C128="",D128="",L128="İptal"),"",IFERROR(INT(A128)*100000+ROUND(C128*1440,0)*10+MATCH(D128,Sahalar,0),""))</f>
        <v/>
      </c>
    </row>
    <row r="129">
      <c r="A129" s="16" t="n"/>
      <c r="B129" s="17">
        <f>IF(A129="","",CHOOSE(WEEKDAY(A129,2),"Pzt","Sal","Çar","Per","Cum","Cmt","Paz"))</f>
        <v/>
      </c>
      <c r="C129" s="18" t="n"/>
      <c r="D129" s="17" t="n"/>
      <c r="E129" s="17" t="n"/>
      <c r="F129" s="17" t="n"/>
      <c r="G129" s="17" t="n"/>
      <c r="H129" s="19">
        <f>IF(OR(A129="",C129=""),"",IF(WEEKDAY(A129,2)&gt;=6,UcretHaftaSonu,IF(OR(C129&gt;=AksamBas,C129&lt;TIME(6,0,0)),UcretAksam,UcretGunduz)))</f>
        <v/>
      </c>
      <c r="I129" s="19" t="n"/>
      <c r="J129" s="17" t="n"/>
      <c r="K129" s="19">
        <f>IF(H129="","",IF(J129="Evet",0,H129-N(I129)))</f>
        <v/>
      </c>
      <c r="L129" s="17" t="n"/>
      <c r="M129" s="17" t="n"/>
      <c r="N129">
        <f>IF(OR(A129="",C129="",D129="",L129="İptal"),"",IFERROR(INT(A129)*100000+ROUND(C129*1440,0)*10+MATCH(D129,Sahalar,0),""))</f>
        <v/>
      </c>
    </row>
    <row r="130">
      <c r="A130" s="16" t="n"/>
      <c r="B130" s="17">
        <f>IF(A130="","",CHOOSE(WEEKDAY(A130,2),"Pzt","Sal","Çar","Per","Cum","Cmt","Paz"))</f>
        <v/>
      </c>
      <c r="C130" s="18" t="n"/>
      <c r="D130" s="17" t="n"/>
      <c r="E130" s="17" t="n"/>
      <c r="F130" s="17" t="n"/>
      <c r="G130" s="17" t="n"/>
      <c r="H130" s="19">
        <f>IF(OR(A130="",C130=""),"",IF(WEEKDAY(A130,2)&gt;=6,UcretHaftaSonu,IF(OR(C130&gt;=AksamBas,C130&lt;TIME(6,0,0)),UcretAksam,UcretGunduz)))</f>
        <v/>
      </c>
      <c r="I130" s="19" t="n"/>
      <c r="J130" s="17" t="n"/>
      <c r="K130" s="19">
        <f>IF(H130="","",IF(J130="Evet",0,H130-N(I130)))</f>
        <v/>
      </c>
      <c r="L130" s="17" t="n"/>
      <c r="M130" s="17" t="n"/>
      <c r="N130">
        <f>IF(OR(A130="",C130="",D130="",L130="İptal"),"",IFERROR(INT(A130)*100000+ROUND(C130*1440,0)*10+MATCH(D130,Sahalar,0),""))</f>
        <v/>
      </c>
    </row>
    <row r="131">
      <c r="A131" s="16" t="n"/>
      <c r="B131" s="17">
        <f>IF(A131="","",CHOOSE(WEEKDAY(A131,2),"Pzt","Sal","Çar","Per","Cum","Cmt","Paz"))</f>
        <v/>
      </c>
      <c r="C131" s="18" t="n"/>
      <c r="D131" s="17" t="n"/>
      <c r="E131" s="17" t="n"/>
      <c r="F131" s="17" t="n"/>
      <c r="G131" s="17" t="n"/>
      <c r="H131" s="19">
        <f>IF(OR(A131="",C131=""),"",IF(WEEKDAY(A131,2)&gt;=6,UcretHaftaSonu,IF(OR(C131&gt;=AksamBas,C131&lt;TIME(6,0,0)),UcretAksam,UcretGunduz)))</f>
        <v/>
      </c>
      <c r="I131" s="19" t="n"/>
      <c r="J131" s="17" t="n"/>
      <c r="K131" s="19">
        <f>IF(H131="","",IF(J131="Evet",0,H131-N(I131)))</f>
        <v/>
      </c>
      <c r="L131" s="17" t="n"/>
      <c r="M131" s="17" t="n"/>
      <c r="N131">
        <f>IF(OR(A131="",C131="",D131="",L131="İptal"),"",IFERROR(INT(A131)*100000+ROUND(C131*1440,0)*10+MATCH(D131,Sahalar,0),""))</f>
        <v/>
      </c>
    </row>
    <row r="132">
      <c r="A132" s="16" t="n"/>
      <c r="B132" s="17">
        <f>IF(A132="","",CHOOSE(WEEKDAY(A132,2),"Pzt","Sal","Çar","Per","Cum","Cmt","Paz"))</f>
        <v/>
      </c>
      <c r="C132" s="18" t="n"/>
      <c r="D132" s="17" t="n"/>
      <c r="E132" s="17" t="n"/>
      <c r="F132" s="17" t="n"/>
      <c r="G132" s="17" t="n"/>
      <c r="H132" s="19">
        <f>IF(OR(A132="",C132=""),"",IF(WEEKDAY(A132,2)&gt;=6,UcretHaftaSonu,IF(OR(C132&gt;=AksamBas,C132&lt;TIME(6,0,0)),UcretAksam,UcretGunduz)))</f>
        <v/>
      </c>
      <c r="I132" s="19" t="n"/>
      <c r="J132" s="17" t="n"/>
      <c r="K132" s="19">
        <f>IF(H132="","",IF(J132="Evet",0,H132-N(I132)))</f>
        <v/>
      </c>
      <c r="L132" s="17" t="n"/>
      <c r="M132" s="17" t="n"/>
      <c r="N132">
        <f>IF(OR(A132="",C132="",D132="",L132="İptal"),"",IFERROR(INT(A132)*100000+ROUND(C132*1440,0)*10+MATCH(D132,Sahalar,0),""))</f>
        <v/>
      </c>
    </row>
    <row r="133">
      <c r="A133" s="16" t="n"/>
      <c r="B133" s="17">
        <f>IF(A133="","",CHOOSE(WEEKDAY(A133,2),"Pzt","Sal","Çar","Per","Cum","Cmt","Paz"))</f>
        <v/>
      </c>
      <c r="C133" s="18" t="n"/>
      <c r="D133" s="17" t="n"/>
      <c r="E133" s="17" t="n"/>
      <c r="F133" s="17" t="n"/>
      <c r="G133" s="17" t="n"/>
      <c r="H133" s="19">
        <f>IF(OR(A133="",C133=""),"",IF(WEEKDAY(A133,2)&gt;=6,UcretHaftaSonu,IF(OR(C133&gt;=AksamBas,C133&lt;TIME(6,0,0)),UcretAksam,UcretGunduz)))</f>
        <v/>
      </c>
      <c r="I133" s="19" t="n"/>
      <c r="J133" s="17" t="n"/>
      <c r="K133" s="19">
        <f>IF(H133="","",IF(J133="Evet",0,H133-N(I133)))</f>
        <v/>
      </c>
      <c r="L133" s="17" t="n"/>
      <c r="M133" s="17" t="n"/>
      <c r="N133">
        <f>IF(OR(A133="",C133="",D133="",L133="İptal"),"",IFERROR(INT(A133)*100000+ROUND(C133*1440,0)*10+MATCH(D133,Sahalar,0),""))</f>
        <v/>
      </c>
    </row>
    <row r="134">
      <c r="A134" s="16" t="n"/>
      <c r="B134" s="17">
        <f>IF(A134="","",CHOOSE(WEEKDAY(A134,2),"Pzt","Sal","Çar","Per","Cum","Cmt","Paz"))</f>
        <v/>
      </c>
      <c r="C134" s="18" t="n"/>
      <c r="D134" s="17" t="n"/>
      <c r="E134" s="17" t="n"/>
      <c r="F134" s="17" t="n"/>
      <c r="G134" s="17" t="n"/>
      <c r="H134" s="19">
        <f>IF(OR(A134="",C134=""),"",IF(WEEKDAY(A134,2)&gt;=6,UcretHaftaSonu,IF(OR(C134&gt;=AksamBas,C134&lt;TIME(6,0,0)),UcretAksam,UcretGunduz)))</f>
        <v/>
      </c>
      <c r="I134" s="19" t="n"/>
      <c r="J134" s="17" t="n"/>
      <c r="K134" s="19">
        <f>IF(H134="","",IF(J134="Evet",0,H134-N(I134)))</f>
        <v/>
      </c>
      <c r="L134" s="17" t="n"/>
      <c r="M134" s="17" t="n"/>
      <c r="N134">
        <f>IF(OR(A134="",C134="",D134="",L134="İptal"),"",IFERROR(INT(A134)*100000+ROUND(C134*1440,0)*10+MATCH(D134,Sahalar,0),""))</f>
        <v/>
      </c>
    </row>
    <row r="135">
      <c r="A135" s="16" t="n"/>
      <c r="B135" s="17">
        <f>IF(A135="","",CHOOSE(WEEKDAY(A135,2),"Pzt","Sal","Çar","Per","Cum","Cmt","Paz"))</f>
        <v/>
      </c>
      <c r="C135" s="18" t="n"/>
      <c r="D135" s="17" t="n"/>
      <c r="E135" s="17" t="n"/>
      <c r="F135" s="17" t="n"/>
      <c r="G135" s="17" t="n"/>
      <c r="H135" s="19">
        <f>IF(OR(A135="",C135=""),"",IF(WEEKDAY(A135,2)&gt;=6,UcretHaftaSonu,IF(OR(C135&gt;=AksamBas,C135&lt;TIME(6,0,0)),UcretAksam,UcretGunduz)))</f>
        <v/>
      </c>
      <c r="I135" s="19" t="n"/>
      <c r="J135" s="17" t="n"/>
      <c r="K135" s="19">
        <f>IF(H135="","",IF(J135="Evet",0,H135-N(I135)))</f>
        <v/>
      </c>
      <c r="L135" s="17" t="n"/>
      <c r="M135" s="17" t="n"/>
      <c r="N135">
        <f>IF(OR(A135="",C135="",D135="",L135="İptal"),"",IFERROR(INT(A135)*100000+ROUND(C135*1440,0)*10+MATCH(D135,Sahalar,0),""))</f>
        <v/>
      </c>
    </row>
    <row r="136">
      <c r="A136" s="16" t="n"/>
      <c r="B136" s="17">
        <f>IF(A136="","",CHOOSE(WEEKDAY(A136,2),"Pzt","Sal","Çar","Per","Cum","Cmt","Paz"))</f>
        <v/>
      </c>
      <c r="C136" s="18" t="n"/>
      <c r="D136" s="17" t="n"/>
      <c r="E136" s="17" t="n"/>
      <c r="F136" s="17" t="n"/>
      <c r="G136" s="17" t="n"/>
      <c r="H136" s="19">
        <f>IF(OR(A136="",C136=""),"",IF(WEEKDAY(A136,2)&gt;=6,UcretHaftaSonu,IF(OR(C136&gt;=AksamBas,C136&lt;TIME(6,0,0)),UcretAksam,UcretGunduz)))</f>
        <v/>
      </c>
      <c r="I136" s="19" t="n"/>
      <c r="J136" s="17" t="n"/>
      <c r="K136" s="19">
        <f>IF(H136="","",IF(J136="Evet",0,H136-N(I136)))</f>
        <v/>
      </c>
      <c r="L136" s="17" t="n"/>
      <c r="M136" s="17" t="n"/>
      <c r="N136">
        <f>IF(OR(A136="",C136="",D136="",L136="İptal"),"",IFERROR(INT(A136)*100000+ROUND(C136*1440,0)*10+MATCH(D136,Sahalar,0),""))</f>
        <v/>
      </c>
    </row>
    <row r="137">
      <c r="A137" s="16" t="n"/>
      <c r="B137" s="17">
        <f>IF(A137="","",CHOOSE(WEEKDAY(A137,2),"Pzt","Sal","Çar","Per","Cum","Cmt","Paz"))</f>
        <v/>
      </c>
      <c r="C137" s="18" t="n"/>
      <c r="D137" s="17" t="n"/>
      <c r="E137" s="17" t="n"/>
      <c r="F137" s="17" t="n"/>
      <c r="G137" s="17" t="n"/>
      <c r="H137" s="19">
        <f>IF(OR(A137="",C137=""),"",IF(WEEKDAY(A137,2)&gt;=6,UcretHaftaSonu,IF(OR(C137&gt;=AksamBas,C137&lt;TIME(6,0,0)),UcretAksam,UcretGunduz)))</f>
        <v/>
      </c>
      <c r="I137" s="19" t="n"/>
      <c r="J137" s="17" t="n"/>
      <c r="K137" s="19">
        <f>IF(H137="","",IF(J137="Evet",0,H137-N(I137)))</f>
        <v/>
      </c>
      <c r="L137" s="17" t="n"/>
      <c r="M137" s="17" t="n"/>
      <c r="N137">
        <f>IF(OR(A137="",C137="",D137="",L137="İptal"),"",IFERROR(INT(A137)*100000+ROUND(C137*1440,0)*10+MATCH(D137,Sahalar,0),""))</f>
        <v/>
      </c>
    </row>
    <row r="138">
      <c r="A138" s="16" t="n"/>
      <c r="B138" s="17">
        <f>IF(A138="","",CHOOSE(WEEKDAY(A138,2),"Pzt","Sal","Çar","Per","Cum","Cmt","Paz"))</f>
        <v/>
      </c>
      <c r="C138" s="18" t="n"/>
      <c r="D138" s="17" t="n"/>
      <c r="E138" s="17" t="n"/>
      <c r="F138" s="17" t="n"/>
      <c r="G138" s="17" t="n"/>
      <c r="H138" s="19">
        <f>IF(OR(A138="",C138=""),"",IF(WEEKDAY(A138,2)&gt;=6,UcretHaftaSonu,IF(OR(C138&gt;=AksamBas,C138&lt;TIME(6,0,0)),UcretAksam,UcretGunduz)))</f>
        <v/>
      </c>
      <c r="I138" s="19" t="n"/>
      <c r="J138" s="17" t="n"/>
      <c r="K138" s="19">
        <f>IF(H138="","",IF(J138="Evet",0,H138-N(I138)))</f>
        <v/>
      </c>
      <c r="L138" s="17" t="n"/>
      <c r="M138" s="17" t="n"/>
      <c r="N138">
        <f>IF(OR(A138="",C138="",D138="",L138="İptal"),"",IFERROR(INT(A138)*100000+ROUND(C138*1440,0)*10+MATCH(D138,Sahalar,0),""))</f>
        <v/>
      </c>
    </row>
    <row r="139">
      <c r="A139" s="16" t="n"/>
      <c r="B139" s="17">
        <f>IF(A139="","",CHOOSE(WEEKDAY(A139,2),"Pzt","Sal","Çar","Per","Cum","Cmt","Paz"))</f>
        <v/>
      </c>
      <c r="C139" s="18" t="n"/>
      <c r="D139" s="17" t="n"/>
      <c r="E139" s="17" t="n"/>
      <c r="F139" s="17" t="n"/>
      <c r="G139" s="17" t="n"/>
      <c r="H139" s="19">
        <f>IF(OR(A139="",C139=""),"",IF(WEEKDAY(A139,2)&gt;=6,UcretHaftaSonu,IF(OR(C139&gt;=AksamBas,C139&lt;TIME(6,0,0)),UcretAksam,UcretGunduz)))</f>
        <v/>
      </c>
      <c r="I139" s="19" t="n"/>
      <c r="J139" s="17" t="n"/>
      <c r="K139" s="19">
        <f>IF(H139="","",IF(J139="Evet",0,H139-N(I139)))</f>
        <v/>
      </c>
      <c r="L139" s="17" t="n"/>
      <c r="M139" s="17" t="n"/>
      <c r="N139">
        <f>IF(OR(A139="",C139="",D139="",L139="İptal"),"",IFERROR(INT(A139)*100000+ROUND(C139*1440,0)*10+MATCH(D139,Sahalar,0),""))</f>
        <v/>
      </c>
    </row>
    <row r="140">
      <c r="A140" s="16" t="n"/>
      <c r="B140" s="17">
        <f>IF(A140="","",CHOOSE(WEEKDAY(A140,2),"Pzt","Sal","Çar","Per","Cum","Cmt","Paz"))</f>
        <v/>
      </c>
      <c r="C140" s="18" t="n"/>
      <c r="D140" s="17" t="n"/>
      <c r="E140" s="17" t="n"/>
      <c r="F140" s="17" t="n"/>
      <c r="G140" s="17" t="n"/>
      <c r="H140" s="19">
        <f>IF(OR(A140="",C140=""),"",IF(WEEKDAY(A140,2)&gt;=6,UcretHaftaSonu,IF(OR(C140&gt;=AksamBas,C140&lt;TIME(6,0,0)),UcretAksam,UcretGunduz)))</f>
        <v/>
      </c>
      <c r="I140" s="19" t="n"/>
      <c r="J140" s="17" t="n"/>
      <c r="K140" s="19">
        <f>IF(H140="","",IF(J140="Evet",0,H140-N(I140)))</f>
        <v/>
      </c>
      <c r="L140" s="17" t="n"/>
      <c r="M140" s="17" t="n"/>
      <c r="N140">
        <f>IF(OR(A140="",C140="",D140="",L140="İptal"),"",IFERROR(INT(A140)*100000+ROUND(C140*1440,0)*10+MATCH(D140,Sahalar,0),""))</f>
        <v/>
      </c>
    </row>
    <row r="141">
      <c r="A141" s="16" t="n"/>
      <c r="B141" s="17">
        <f>IF(A141="","",CHOOSE(WEEKDAY(A141,2),"Pzt","Sal","Çar","Per","Cum","Cmt","Paz"))</f>
        <v/>
      </c>
      <c r="C141" s="18" t="n"/>
      <c r="D141" s="17" t="n"/>
      <c r="E141" s="17" t="n"/>
      <c r="F141" s="17" t="n"/>
      <c r="G141" s="17" t="n"/>
      <c r="H141" s="19">
        <f>IF(OR(A141="",C141=""),"",IF(WEEKDAY(A141,2)&gt;=6,UcretHaftaSonu,IF(OR(C141&gt;=AksamBas,C141&lt;TIME(6,0,0)),UcretAksam,UcretGunduz)))</f>
        <v/>
      </c>
      <c r="I141" s="19" t="n"/>
      <c r="J141" s="17" t="n"/>
      <c r="K141" s="19">
        <f>IF(H141="","",IF(J141="Evet",0,H141-N(I141)))</f>
        <v/>
      </c>
      <c r="L141" s="17" t="n"/>
      <c r="M141" s="17" t="n"/>
      <c r="N141">
        <f>IF(OR(A141="",C141="",D141="",L141="İptal"),"",IFERROR(INT(A141)*100000+ROUND(C141*1440,0)*10+MATCH(D141,Sahalar,0),""))</f>
        <v/>
      </c>
    </row>
    <row r="142">
      <c r="A142" s="16" t="n"/>
      <c r="B142" s="17">
        <f>IF(A142="","",CHOOSE(WEEKDAY(A142,2),"Pzt","Sal","Çar","Per","Cum","Cmt","Paz"))</f>
        <v/>
      </c>
      <c r="C142" s="18" t="n"/>
      <c r="D142" s="17" t="n"/>
      <c r="E142" s="17" t="n"/>
      <c r="F142" s="17" t="n"/>
      <c r="G142" s="17" t="n"/>
      <c r="H142" s="19">
        <f>IF(OR(A142="",C142=""),"",IF(WEEKDAY(A142,2)&gt;=6,UcretHaftaSonu,IF(OR(C142&gt;=AksamBas,C142&lt;TIME(6,0,0)),UcretAksam,UcretGunduz)))</f>
        <v/>
      </c>
      <c r="I142" s="19" t="n"/>
      <c r="J142" s="17" t="n"/>
      <c r="K142" s="19">
        <f>IF(H142="","",IF(J142="Evet",0,H142-N(I142)))</f>
        <v/>
      </c>
      <c r="L142" s="17" t="n"/>
      <c r="M142" s="17" t="n"/>
      <c r="N142">
        <f>IF(OR(A142="",C142="",D142="",L142="İptal"),"",IFERROR(INT(A142)*100000+ROUND(C142*1440,0)*10+MATCH(D142,Sahalar,0),""))</f>
        <v/>
      </c>
    </row>
    <row r="143">
      <c r="A143" s="16" t="n"/>
      <c r="B143" s="17">
        <f>IF(A143="","",CHOOSE(WEEKDAY(A143,2),"Pzt","Sal","Çar","Per","Cum","Cmt","Paz"))</f>
        <v/>
      </c>
      <c r="C143" s="18" t="n"/>
      <c r="D143" s="17" t="n"/>
      <c r="E143" s="17" t="n"/>
      <c r="F143" s="17" t="n"/>
      <c r="G143" s="17" t="n"/>
      <c r="H143" s="19">
        <f>IF(OR(A143="",C143=""),"",IF(WEEKDAY(A143,2)&gt;=6,UcretHaftaSonu,IF(OR(C143&gt;=AksamBas,C143&lt;TIME(6,0,0)),UcretAksam,UcretGunduz)))</f>
        <v/>
      </c>
      <c r="I143" s="19" t="n"/>
      <c r="J143" s="17" t="n"/>
      <c r="K143" s="19">
        <f>IF(H143="","",IF(J143="Evet",0,H143-N(I143)))</f>
        <v/>
      </c>
      <c r="L143" s="17" t="n"/>
      <c r="M143" s="17" t="n"/>
      <c r="N143">
        <f>IF(OR(A143="",C143="",D143="",L143="İptal"),"",IFERROR(INT(A143)*100000+ROUND(C143*1440,0)*10+MATCH(D143,Sahalar,0),""))</f>
        <v/>
      </c>
    </row>
    <row r="144">
      <c r="A144" s="16" t="n"/>
      <c r="B144" s="17">
        <f>IF(A144="","",CHOOSE(WEEKDAY(A144,2),"Pzt","Sal","Çar","Per","Cum","Cmt","Paz"))</f>
        <v/>
      </c>
      <c r="C144" s="18" t="n"/>
      <c r="D144" s="17" t="n"/>
      <c r="E144" s="17" t="n"/>
      <c r="F144" s="17" t="n"/>
      <c r="G144" s="17" t="n"/>
      <c r="H144" s="19">
        <f>IF(OR(A144="",C144=""),"",IF(WEEKDAY(A144,2)&gt;=6,UcretHaftaSonu,IF(OR(C144&gt;=AksamBas,C144&lt;TIME(6,0,0)),UcretAksam,UcretGunduz)))</f>
        <v/>
      </c>
      <c r="I144" s="19" t="n"/>
      <c r="J144" s="17" t="n"/>
      <c r="K144" s="19">
        <f>IF(H144="","",IF(J144="Evet",0,H144-N(I144)))</f>
        <v/>
      </c>
      <c r="L144" s="17" t="n"/>
      <c r="M144" s="17" t="n"/>
      <c r="N144">
        <f>IF(OR(A144="",C144="",D144="",L144="İptal"),"",IFERROR(INT(A144)*100000+ROUND(C144*1440,0)*10+MATCH(D144,Sahalar,0),""))</f>
        <v/>
      </c>
    </row>
    <row r="145">
      <c r="A145" s="16" t="n"/>
      <c r="B145" s="17">
        <f>IF(A145="","",CHOOSE(WEEKDAY(A145,2),"Pzt","Sal","Çar","Per","Cum","Cmt","Paz"))</f>
        <v/>
      </c>
      <c r="C145" s="18" t="n"/>
      <c r="D145" s="17" t="n"/>
      <c r="E145" s="17" t="n"/>
      <c r="F145" s="17" t="n"/>
      <c r="G145" s="17" t="n"/>
      <c r="H145" s="19">
        <f>IF(OR(A145="",C145=""),"",IF(WEEKDAY(A145,2)&gt;=6,UcretHaftaSonu,IF(OR(C145&gt;=AksamBas,C145&lt;TIME(6,0,0)),UcretAksam,UcretGunduz)))</f>
        <v/>
      </c>
      <c r="I145" s="19" t="n"/>
      <c r="J145" s="17" t="n"/>
      <c r="K145" s="19">
        <f>IF(H145="","",IF(J145="Evet",0,H145-N(I145)))</f>
        <v/>
      </c>
      <c r="L145" s="17" t="n"/>
      <c r="M145" s="17" t="n"/>
      <c r="N145">
        <f>IF(OR(A145="",C145="",D145="",L145="İptal"),"",IFERROR(INT(A145)*100000+ROUND(C145*1440,0)*10+MATCH(D145,Sahalar,0),""))</f>
        <v/>
      </c>
    </row>
    <row r="146">
      <c r="A146" s="16" t="n"/>
      <c r="B146" s="17">
        <f>IF(A146="","",CHOOSE(WEEKDAY(A146,2),"Pzt","Sal","Çar","Per","Cum","Cmt","Paz"))</f>
        <v/>
      </c>
      <c r="C146" s="18" t="n"/>
      <c r="D146" s="17" t="n"/>
      <c r="E146" s="17" t="n"/>
      <c r="F146" s="17" t="n"/>
      <c r="G146" s="17" t="n"/>
      <c r="H146" s="19">
        <f>IF(OR(A146="",C146=""),"",IF(WEEKDAY(A146,2)&gt;=6,UcretHaftaSonu,IF(OR(C146&gt;=AksamBas,C146&lt;TIME(6,0,0)),UcretAksam,UcretGunduz)))</f>
        <v/>
      </c>
      <c r="I146" s="19" t="n"/>
      <c r="J146" s="17" t="n"/>
      <c r="K146" s="19">
        <f>IF(H146="","",IF(J146="Evet",0,H146-N(I146)))</f>
        <v/>
      </c>
      <c r="L146" s="17" t="n"/>
      <c r="M146" s="17" t="n"/>
      <c r="N146">
        <f>IF(OR(A146="",C146="",D146="",L146="İptal"),"",IFERROR(INT(A146)*100000+ROUND(C146*1440,0)*10+MATCH(D146,Sahalar,0),""))</f>
        <v/>
      </c>
    </row>
    <row r="147">
      <c r="A147" s="16" t="n"/>
      <c r="B147" s="17">
        <f>IF(A147="","",CHOOSE(WEEKDAY(A147,2),"Pzt","Sal","Çar","Per","Cum","Cmt","Paz"))</f>
        <v/>
      </c>
      <c r="C147" s="18" t="n"/>
      <c r="D147" s="17" t="n"/>
      <c r="E147" s="17" t="n"/>
      <c r="F147" s="17" t="n"/>
      <c r="G147" s="17" t="n"/>
      <c r="H147" s="19">
        <f>IF(OR(A147="",C147=""),"",IF(WEEKDAY(A147,2)&gt;=6,UcretHaftaSonu,IF(OR(C147&gt;=AksamBas,C147&lt;TIME(6,0,0)),UcretAksam,UcretGunduz)))</f>
        <v/>
      </c>
      <c r="I147" s="19" t="n"/>
      <c r="J147" s="17" t="n"/>
      <c r="K147" s="19">
        <f>IF(H147="","",IF(J147="Evet",0,H147-N(I147)))</f>
        <v/>
      </c>
      <c r="L147" s="17" t="n"/>
      <c r="M147" s="17" t="n"/>
      <c r="N147">
        <f>IF(OR(A147="",C147="",D147="",L147="İptal"),"",IFERROR(INT(A147)*100000+ROUND(C147*1440,0)*10+MATCH(D147,Sahalar,0),""))</f>
        <v/>
      </c>
    </row>
    <row r="148">
      <c r="A148" s="16" t="n"/>
      <c r="B148" s="17">
        <f>IF(A148="","",CHOOSE(WEEKDAY(A148,2),"Pzt","Sal","Çar","Per","Cum","Cmt","Paz"))</f>
        <v/>
      </c>
      <c r="C148" s="18" t="n"/>
      <c r="D148" s="17" t="n"/>
      <c r="E148" s="17" t="n"/>
      <c r="F148" s="17" t="n"/>
      <c r="G148" s="17" t="n"/>
      <c r="H148" s="19">
        <f>IF(OR(A148="",C148=""),"",IF(WEEKDAY(A148,2)&gt;=6,UcretHaftaSonu,IF(OR(C148&gt;=AksamBas,C148&lt;TIME(6,0,0)),UcretAksam,UcretGunduz)))</f>
        <v/>
      </c>
      <c r="I148" s="19" t="n"/>
      <c r="J148" s="17" t="n"/>
      <c r="K148" s="19">
        <f>IF(H148="","",IF(J148="Evet",0,H148-N(I148)))</f>
        <v/>
      </c>
      <c r="L148" s="17" t="n"/>
      <c r="M148" s="17" t="n"/>
      <c r="N148">
        <f>IF(OR(A148="",C148="",D148="",L148="İptal"),"",IFERROR(INT(A148)*100000+ROUND(C148*1440,0)*10+MATCH(D148,Sahalar,0),""))</f>
        <v/>
      </c>
    </row>
    <row r="149">
      <c r="A149" s="16" t="n"/>
      <c r="B149" s="17">
        <f>IF(A149="","",CHOOSE(WEEKDAY(A149,2),"Pzt","Sal","Çar","Per","Cum","Cmt","Paz"))</f>
        <v/>
      </c>
      <c r="C149" s="18" t="n"/>
      <c r="D149" s="17" t="n"/>
      <c r="E149" s="17" t="n"/>
      <c r="F149" s="17" t="n"/>
      <c r="G149" s="17" t="n"/>
      <c r="H149" s="19">
        <f>IF(OR(A149="",C149=""),"",IF(WEEKDAY(A149,2)&gt;=6,UcretHaftaSonu,IF(OR(C149&gt;=AksamBas,C149&lt;TIME(6,0,0)),UcretAksam,UcretGunduz)))</f>
        <v/>
      </c>
      <c r="I149" s="19" t="n"/>
      <c r="J149" s="17" t="n"/>
      <c r="K149" s="19">
        <f>IF(H149="","",IF(J149="Evet",0,H149-N(I149)))</f>
        <v/>
      </c>
      <c r="L149" s="17" t="n"/>
      <c r="M149" s="17" t="n"/>
      <c r="N149">
        <f>IF(OR(A149="",C149="",D149="",L149="İptal"),"",IFERROR(INT(A149)*100000+ROUND(C149*1440,0)*10+MATCH(D149,Sahalar,0),""))</f>
        <v/>
      </c>
    </row>
    <row r="150">
      <c r="A150" s="16" t="n"/>
      <c r="B150" s="17">
        <f>IF(A150="","",CHOOSE(WEEKDAY(A150,2),"Pzt","Sal","Çar","Per","Cum","Cmt","Paz"))</f>
        <v/>
      </c>
      <c r="C150" s="18" t="n"/>
      <c r="D150" s="17" t="n"/>
      <c r="E150" s="17" t="n"/>
      <c r="F150" s="17" t="n"/>
      <c r="G150" s="17" t="n"/>
      <c r="H150" s="19">
        <f>IF(OR(A150="",C150=""),"",IF(WEEKDAY(A150,2)&gt;=6,UcretHaftaSonu,IF(OR(C150&gt;=AksamBas,C150&lt;TIME(6,0,0)),UcretAksam,UcretGunduz)))</f>
        <v/>
      </c>
      <c r="I150" s="19" t="n"/>
      <c r="J150" s="17" t="n"/>
      <c r="K150" s="19">
        <f>IF(H150="","",IF(J150="Evet",0,H150-N(I150)))</f>
        <v/>
      </c>
      <c r="L150" s="17" t="n"/>
      <c r="M150" s="17" t="n"/>
      <c r="N150">
        <f>IF(OR(A150="",C150="",D150="",L150="İptal"),"",IFERROR(INT(A150)*100000+ROUND(C150*1440,0)*10+MATCH(D150,Sahalar,0),""))</f>
        <v/>
      </c>
    </row>
    <row r="151">
      <c r="A151" s="16" t="n"/>
      <c r="B151" s="17">
        <f>IF(A151="","",CHOOSE(WEEKDAY(A151,2),"Pzt","Sal","Çar","Per","Cum","Cmt","Paz"))</f>
        <v/>
      </c>
      <c r="C151" s="18" t="n"/>
      <c r="D151" s="17" t="n"/>
      <c r="E151" s="17" t="n"/>
      <c r="F151" s="17" t="n"/>
      <c r="G151" s="17" t="n"/>
      <c r="H151" s="19">
        <f>IF(OR(A151="",C151=""),"",IF(WEEKDAY(A151,2)&gt;=6,UcretHaftaSonu,IF(OR(C151&gt;=AksamBas,C151&lt;TIME(6,0,0)),UcretAksam,UcretGunduz)))</f>
        <v/>
      </c>
      <c r="I151" s="19" t="n"/>
      <c r="J151" s="17" t="n"/>
      <c r="K151" s="19">
        <f>IF(H151="","",IF(J151="Evet",0,H151-N(I151)))</f>
        <v/>
      </c>
      <c r="L151" s="17" t="n"/>
      <c r="M151" s="17" t="n"/>
      <c r="N151">
        <f>IF(OR(A151="",C151="",D151="",L151="İptal"),"",IFERROR(INT(A151)*100000+ROUND(C151*1440,0)*10+MATCH(D151,Sahalar,0),""))</f>
        <v/>
      </c>
    </row>
    <row r="152">
      <c r="A152" s="16" t="n"/>
      <c r="B152" s="17">
        <f>IF(A152="","",CHOOSE(WEEKDAY(A152,2),"Pzt","Sal","Çar","Per","Cum","Cmt","Paz"))</f>
        <v/>
      </c>
      <c r="C152" s="18" t="n"/>
      <c r="D152" s="17" t="n"/>
      <c r="E152" s="17" t="n"/>
      <c r="F152" s="17" t="n"/>
      <c r="G152" s="17" t="n"/>
      <c r="H152" s="19">
        <f>IF(OR(A152="",C152=""),"",IF(WEEKDAY(A152,2)&gt;=6,UcretHaftaSonu,IF(OR(C152&gt;=AksamBas,C152&lt;TIME(6,0,0)),UcretAksam,UcretGunduz)))</f>
        <v/>
      </c>
      <c r="I152" s="19" t="n"/>
      <c r="J152" s="17" t="n"/>
      <c r="K152" s="19">
        <f>IF(H152="","",IF(J152="Evet",0,H152-N(I152)))</f>
        <v/>
      </c>
      <c r="L152" s="17" t="n"/>
      <c r="M152" s="17" t="n"/>
      <c r="N152">
        <f>IF(OR(A152="",C152="",D152="",L152="İptal"),"",IFERROR(INT(A152)*100000+ROUND(C152*1440,0)*10+MATCH(D152,Sahalar,0),""))</f>
        <v/>
      </c>
    </row>
    <row r="153">
      <c r="A153" s="16" t="n"/>
      <c r="B153" s="17">
        <f>IF(A153="","",CHOOSE(WEEKDAY(A153,2),"Pzt","Sal","Çar","Per","Cum","Cmt","Paz"))</f>
        <v/>
      </c>
      <c r="C153" s="18" t="n"/>
      <c r="D153" s="17" t="n"/>
      <c r="E153" s="17" t="n"/>
      <c r="F153" s="17" t="n"/>
      <c r="G153" s="17" t="n"/>
      <c r="H153" s="19">
        <f>IF(OR(A153="",C153=""),"",IF(WEEKDAY(A153,2)&gt;=6,UcretHaftaSonu,IF(OR(C153&gt;=AksamBas,C153&lt;TIME(6,0,0)),UcretAksam,UcretGunduz)))</f>
        <v/>
      </c>
      <c r="I153" s="19" t="n"/>
      <c r="J153" s="17" t="n"/>
      <c r="K153" s="19">
        <f>IF(H153="","",IF(J153="Evet",0,H153-N(I153)))</f>
        <v/>
      </c>
      <c r="L153" s="17" t="n"/>
      <c r="M153" s="17" t="n"/>
      <c r="N153">
        <f>IF(OR(A153="",C153="",D153="",L153="İptal"),"",IFERROR(INT(A153)*100000+ROUND(C153*1440,0)*10+MATCH(D153,Sahalar,0),""))</f>
        <v/>
      </c>
    </row>
    <row r="154">
      <c r="A154" s="16" t="n"/>
      <c r="B154" s="17">
        <f>IF(A154="","",CHOOSE(WEEKDAY(A154,2),"Pzt","Sal","Çar","Per","Cum","Cmt","Paz"))</f>
        <v/>
      </c>
      <c r="C154" s="18" t="n"/>
      <c r="D154" s="17" t="n"/>
      <c r="E154" s="17" t="n"/>
      <c r="F154" s="17" t="n"/>
      <c r="G154" s="17" t="n"/>
      <c r="H154" s="19">
        <f>IF(OR(A154="",C154=""),"",IF(WEEKDAY(A154,2)&gt;=6,UcretHaftaSonu,IF(OR(C154&gt;=AksamBas,C154&lt;TIME(6,0,0)),UcretAksam,UcretGunduz)))</f>
        <v/>
      </c>
      <c r="I154" s="19" t="n"/>
      <c r="J154" s="17" t="n"/>
      <c r="K154" s="19">
        <f>IF(H154="","",IF(J154="Evet",0,H154-N(I154)))</f>
        <v/>
      </c>
      <c r="L154" s="17" t="n"/>
      <c r="M154" s="17" t="n"/>
      <c r="N154">
        <f>IF(OR(A154="",C154="",D154="",L154="İptal"),"",IFERROR(INT(A154)*100000+ROUND(C154*1440,0)*10+MATCH(D154,Sahalar,0),""))</f>
        <v/>
      </c>
    </row>
    <row r="155">
      <c r="A155" s="16" t="n"/>
      <c r="B155" s="17">
        <f>IF(A155="","",CHOOSE(WEEKDAY(A155,2),"Pzt","Sal","Çar","Per","Cum","Cmt","Paz"))</f>
        <v/>
      </c>
      <c r="C155" s="18" t="n"/>
      <c r="D155" s="17" t="n"/>
      <c r="E155" s="17" t="n"/>
      <c r="F155" s="17" t="n"/>
      <c r="G155" s="17" t="n"/>
      <c r="H155" s="19">
        <f>IF(OR(A155="",C155=""),"",IF(WEEKDAY(A155,2)&gt;=6,UcretHaftaSonu,IF(OR(C155&gt;=AksamBas,C155&lt;TIME(6,0,0)),UcretAksam,UcretGunduz)))</f>
        <v/>
      </c>
      <c r="I155" s="19" t="n"/>
      <c r="J155" s="17" t="n"/>
      <c r="K155" s="19">
        <f>IF(H155="","",IF(J155="Evet",0,H155-N(I155)))</f>
        <v/>
      </c>
      <c r="L155" s="17" t="n"/>
      <c r="M155" s="17" t="n"/>
      <c r="N155">
        <f>IF(OR(A155="",C155="",D155="",L155="İptal"),"",IFERROR(INT(A155)*100000+ROUND(C155*1440,0)*10+MATCH(D155,Sahalar,0),""))</f>
        <v/>
      </c>
    </row>
    <row r="156">
      <c r="A156" s="16" t="n"/>
      <c r="B156" s="17">
        <f>IF(A156="","",CHOOSE(WEEKDAY(A156,2),"Pzt","Sal","Çar","Per","Cum","Cmt","Paz"))</f>
        <v/>
      </c>
      <c r="C156" s="18" t="n"/>
      <c r="D156" s="17" t="n"/>
      <c r="E156" s="17" t="n"/>
      <c r="F156" s="17" t="n"/>
      <c r="G156" s="17" t="n"/>
      <c r="H156" s="19">
        <f>IF(OR(A156="",C156=""),"",IF(WEEKDAY(A156,2)&gt;=6,UcretHaftaSonu,IF(OR(C156&gt;=AksamBas,C156&lt;TIME(6,0,0)),UcretAksam,UcretGunduz)))</f>
        <v/>
      </c>
      <c r="I156" s="19" t="n"/>
      <c r="J156" s="17" t="n"/>
      <c r="K156" s="19">
        <f>IF(H156="","",IF(J156="Evet",0,H156-N(I156)))</f>
        <v/>
      </c>
      <c r="L156" s="17" t="n"/>
      <c r="M156" s="17" t="n"/>
      <c r="N156">
        <f>IF(OR(A156="",C156="",D156="",L156="İptal"),"",IFERROR(INT(A156)*100000+ROUND(C156*1440,0)*10+MATCH(D156,Sahalar,0),""))</f>
        <v/>
      </c>
    </row>
    <row r="157">
      <c r="A157" s="16" t="n"/>
      <c r="B157" s="17">
        <f>IF(A157="","",CHOOSE(WEEKDAY(A157,2),"Pzt","Sal","Çar","Per","Cum","Cmt","Paz"))</f>
        <v/>
      </c>
      <c r="C157" s="18" t="n"/>
      <c r="D157" s="17" t="n"/>
      <c r="E157" s="17" t="n"/>
      <c r="F157" s="17" t="n"/>
      <c r="G157" s="17" t="n"/>
      <c r="H157" s="19">
        <f>IF(OR(A157="",C157=""),"",IF(WEEKDAY(A157,2)&gt;=6,UcretHaftaSonu,IF(OR(C157&gt;=AksamBas,C157&lt;TIME(6,0,0)),UcretAksam,UcretGunduz)))</f>
        <v/>
      </c>
      <c r="I157" s="19" t="n"/>
      <c r="J157" s="17" t="n"/>
      <c r="K157" s="19">
        <f>IF(H157="","",IF(J157="Evet",0,H157-N(I157)))</f>
        <v/>
      </c>
      <c r="L157" s="17" t="n"/>
      <c r="M157" s="17" t="n"/>
      <c r="N157">
        <f>IF(OR(A157="",C157="",D157="",L157="İptal"),"",IFERROR(INT(A157)*100000+ROUND(C157*1440,0)*10+MATCH(D157,Sahalar,0),""))</f>
        <v/>
      </c>
    </row>
    <row r="158">
      <c r="A158" s="16" t="n"/>
      <c r="B158" s="17">
        <f>IF(A158="","",CHOOSE(WEEKDAY(A158,2),"Pzt","Sal","Çar","Per","Cum","Cmt","Paz"))</f>
        <v/>
      </c>
      <c r="C158" s="18" t="n"/>
      <c r="D158" s="17" t="n"/>
      <c r="E158" s="17" t="n"/>
      <c r="F158" s="17" t="n"/>
      <c r="G158" s="17" t="n"/>
      <c r="H158" s="19">
        <f>IF(OR(A158="",C158=""),"",IF(WEEKDAY(A158,2)&gt;=6,UcretHaftaSonu,IF(OR(C158&gt;=AksamBas,C158&lt;TIME(6,0,0)),UcretAksam,UcretGunduz)))</f>
        <v/>
      </c>
      <c r="I158" s="19" t="n"/>
      <c r="J158" s="17" t="n"/>
      <c r="K158" s="19">
        <f>IF(H158="","",IF(J158="Evet",0,H158-N(I158)))</f>
        <v/>
      </c>
      <c r="L158" s="17" t="n"/>
      <c r="M158" s="17" t="n"/>
      <c r="N158">
        <f>IF(OR(A158="",C158="",D158="",L158="İptal"),"",IFERROR(INT(A158)*100000+ROUND(C158*1440,0)*10+MATCH(D158,Sahalar,0),""))</f>
        <v/>
      </c>
    </row>
    <row r="159">
      <c r="A159" s="16" t="n"/>
      <c r="B159" s="17">
        <f>IF(A159="","",CHOOSE(WEEKDAY(A159,2),"Pzt","Sal","Çar","Per","Cum","Cmt","Paz"))</f>
        <v/>
      </c>
      <c r="C159" s="18" t="n"/>
      <c r="D159" s="17" t="n"/>
      <c r="E159" s="17" t="n"/>
      <c r="F159" s="17" t="n"/>
      <c r="G159" s="17" t="n"/>
      <c r="H159" s="19">
        <f>IF(OR(A159="",C159=""),"",IF(WEEKDAY(A159,2)&gt;=6,UcretHaftaSonu,IF(OR(C159&gt;=AksamBas,C159&lt;TIME(6,0,0)),UcretAksam,UcretGunduz)))</f>
        <v/>
      </c>
      <c r="I159" s="19" t="n"/>
      <c r="J159" s="17" t="n"/>
      <c r="K159" s="19">
        <f>IF(H159="","",IF(J159="Evet",0,H159-N(I159)))</f>
        <v/>
      </c>
      <c r="L159" s="17" t="n"/>
      <c r="M159" s="17" t="n"/>
      <c r="N159">
        <f>IF(OR(A159="",C159="",D159="",L159="İptal"),"",IFERROR(INT(A159)*100000+ROUND(C159*1440,0)*10+MATCH(D159,Sahalar,0),""))</f>
        <v/>
      </c>
    </row>
    <row r="160">
      <c r="A160" s="16" t="n"/>
      <c r="B160" s="17">
        <f>IF(A160="","",CHOOSE(WEEKDAY(A160,2),"Pzt","Sal","Çar","Per","Cum","Cmt","Paz"))</f>
        <v/>
      </c>
      <c r="C160" s="18" t="n"/>
      <c r="D160" s="17" t="n"/>
      <c r="E160" s="17" t="n"/>
      <c r="F160" s="17" t="n"/>
      <c r="G160" s="17" t="n"/>
      <c r="H160" s="19">
        <f>IF(OR(A160="",C160=""),"",IF(WEEKDAY(A160,2)&gt;=6,UcretHaftaSonu,IF(OR(C160&gt;=AksamBas,C160&lt;TIME(6,0,0)),UcretAksam,UcretGunduz)))</f>
        <v/>
      </c>
      <c r="I160" s="19" t="n"/>
      <c r="J160" s="17" t="n"/>
      <c r="K160" s="19">
        <f>IF(H160="","",IF(J160="Evet",0,H160-N(I160)))</f>
        <v/>
      </c>
      <c r="L160" s="17" t="n"/>
      <c r="M160" s="17" t="n"/>
      <c r="N160">
        <f>IF(OR(A160="",C160="",D160="",L160="İptal"),"",IFERROR(INT(A160)*100000+ROUND(C160*1440,0)*10+MATCH(D160,Sahalar,0),""))</f>
        <v/>
      </c>
    </row>
    <row r="161">
      <c r="A161" s="16" t="n"/>
      <c r="B161" s="17">
        <f>IF(A161="","",CHOOSE(WEEKDAY(A161,2),"Pzt","Sal","Çar","Per","Cum","Cmt","Paz"))</f>
        <v/>
      </c>
      <c r="C161" s="18" t="n"/>
      <c r="D161" s="17" t="n"/>
      <c r="E161" s="17" t="n"/>
      <c r="F161" s="17" t="n"/>
      <c r="G161" s="17" t="n"/>
      <c r="H161" s="19">
        <f>IF(OR(A161="",C161=""),"",IF(WEEKDAY(A161,2)&gt;=6,UcretHaftaSonu,IF(OR(C161&gt;=AksamBas,C161&lt;TIME(6,0,0)),UcretAksam,UcretGunduz)))</f>
        <v/>
      </c>
      <c r="I161" s="19" t="n"/>
      <c r="J161" s="17" t="n"/>
      <c r="K161" s="19">
        <f>IF(H161="","",IF(J161="Evet",0,H161-N(I161)))</f>
        <v/>
      </c>
      <c r="L161" s="17" t="n"/>
      <c r="M161" s="17" t="n"/>
      <c r="N161">
        <f>IF(OR(A161="",C161="",D161="",L161="İptal"),"",IFERROR(INT(A161)*100000+ROUND(C161*1440,0)*10+MATCH(D161,Sahalar,0),""))</f>
        <v/>
      </c>
    </row>
    <row r="162">
      <c r="A162" s="16" t="n"/>
      <c r="B162" s="17">
        <f>IF(A162="","",CHOOSE(WEEKDAY(A162,2),"Pzt","Sal","Çar","Per","Cum","Cmt","Paz"))</f>
        <v/>
      </c>
      <c r="C162" s="18" t="n"/>
      <c r="D162" s="17" t="n"/>
      <c r="E162" s="17" t="n"/>
      <c r="F162" s="17" t="n"/>
      <c r="G162" s="17" t="n"/>
      <c r="H162" s="19">
        <f>IF(OR(A162="",C162=""),"",IF(WEEKDAY(A162,2)&gt;=6,UcretHaftaSonu,IF(OR(C162&gt;=AksamBas,C162&lt;TIME(6,0,0)),UcretAksam,UcretGunduz)))</f>
        <v/>
      </c>
      <c r="I162" s="19" t="n"/>
      <c r="J162" s="17" t="n"/>
      <c r="K162" s="19">
        <f>IF(H162="","",IF(J162="Evet",0,H162-N(I162)))</f>
        <v/>
      </c>
      <c r="L162" s="17" t="n"/>
      <c r="M162" s="17" t="n"/>
      <c r="N162">
        <f>IF(OR(A162="",C162="",D162="",L162="İptal"),"",IFERROR(INT(A162)*100000+ROUND(C162*1440,0)*10+MATCH(D162,Sahalar,0),""))</f>
        <v/>
      </c>
    </row>
    <row r="163">
      <c r="A163" s="16" t="n"/>
      <c r="B163" s="17">
        <f>IF(A163="","",CHOOSE(WEEKDAY(A163,2),"Pzt","Sal","Çar","Per","Cum","Cmt","Paz"))</f>
        <v/>
      </c>
      <c r="C163" s="18" t="n"/>
      <c r="D163" s="17" t="n"/>
      <c r="E163" s="17" t="n"/>
      <c r="F163" s="17" t="n"/>
      <c r="G163" s="17" t="n"/>
      <c r="H163" s="19">
        <f>IF(OR(A163="",C163=""),"",IF(WEEKDAY(A163,2)&gt;=6,UcretHaftaSonu,IF(OR(C163&gt;=AksamBas,C163&lt;TIME(6,0,0)),UcretAksam,UcretGunduz)))</f>
        <v/>
      </c>
      <c r="I163" s="19" t="n"/>
      <c r="J163" s="17" t="n"/>
      <c r="K163" s="19">
        <f>IF(H163="","",IF(J163="Evet",0,H163-N(I163)))</f>
        <v/>
      </c>
      <c r="L163" s="17" t="n"/>
      <c r="M163" s="17" t="n"/>
      <c r="N163">
        <f>IF(OR(A163="",C163="",D163="",L163="İptal"),"",IFERROR(INT(A163)*100000+ROUND(C163*1440,0)*10+MATCH(D163,Sahalar,0),""))</f>
        <v/>
      </c>
    </row>
    <row r="164">
      <c r="A164" s="16" t="n"/>
      <c r="B164" s="17">
        <f>IF(A164="","",CHOOSE(WEEKDAY(A164,2),"Pzt","Sal","Çar","Per","Cum","Cmt","Paz"))</f>
        <v/>
      </c>
      <c r="C164" s="18" t="n"/>
      <c r="D164" s="17" t="n"/>
      <c r="E164" s="17" t="n"/>
      <c r="F164" s="17" t="n"/>
      <c r="G164" s="17" t="n"/>
      <c r="H164" s="19">
        <f>IF(OR(A164="",C164=""),"",IF(WEEKDAY(A164,2)&gt;=6,UcretHaftaSonu,IF(OR(C164&gt;=AksamBas,C164&lt;TIME(6,0,0)),UcretAksam,UcretGunduz)))</f>
        <v/>
      </c>
      <c r="I164" s="19" t="n"/>
      <c r="J164" s="17" t="n"/>
      <c r="K164" s="19">
        <f>IF(H164="","",IF(J164="Evet",0,H164-N(I164)))</f>
        <v/>
      </c>
      <c r="L164" s="17" t="n"/>
      <c r="M164" s="17" t="n"/>
      <c r="N164">
        <f>IF(OR(A164="",C164="",D164="",L164="İptal"),"",IFERROR(INT(A164)*100000+ROUND(C164*1440,0)*10+MATCH(D164,Sahalar,0),""))</f>
        <v/>
      </c>
    </row>
    <row r="165">
      <c r="A165" s="16" t="n"/>
      <c r="B165" s="17">
        <f>IF(A165="","",CHOOSE(WEEKDAY(A165,2),"Pzt","Sal","Çar","Per","Cum","Cmt","Paz"))</f>
        <v/>
      </c>
      <c r="C165" s="18" t="n"/>
      <c r="D165" s="17" t="n"/>
      <c r="E165" s="17" t="n"/>
      <c r="F165" s="17" t="n"/>
      <c r="G165" s="17" t="n"/>
      <c r="H165" s="19">
        <f>IF(OR(A165="",C165=""),"",IF(WEEKDAY(A165,2)&gt;=6,UcretHaftaSonu,IF(OR(C165&gt;=AksamBas,C165&lt;TIME(6,0,0)),UcretAksam,UcretGunduz)))</f>
        <v/>
      </c>
      <c r="I165" s="19" t="n"/>
      <c r="J165" s="17" t="n"/>
      <c r="K165" s="19">
        <f>IF(H165="","",IF(J165="Evet",0,H165-N(I165)))</f>
        <v/>
      </c>
      <c r="L165" s="17" t="n"/>
      <c r="M165" s="17" t="n"/>
      <c r="N165">
        <f>IF(OR(A165="",C165="",D165="",L165="İptal"),"",IFERROR(INT(A165)*100000+ROUND(C165*1440,0)*10+MATCH(D165,Sahalar,0),""))</f>
        <v/>
      </c>
    </row>
    <row r="166">
      <c r="A166" s="16" t="n"/>
      <c r="B166" s="17">
        <f>IF(A166="","",CHOOSE(WEEKDAY(A166,2),"Pzt","Sal","Çar","Per","Cum","Cmt","Paz"))</f>
        <v/>
      </c>
      <c r="C166" s="18" t="n"/>
      <c r="D166" s="17" t="n"/>
      <c r="E166" s="17" t="n"/>
      <c r="F166" s="17" t="n"/>
      <c r="G166" s="17" t="n"/>
      <c r="H166" s="19">
        <f>IF(OR(A166="",C166=""),"",IF(WEEKDAY(A166,2)&gt;=6,UcretHaftaSonu,IF(OR(C166&gt;=AksamBas,C166&lt;TIME(6,0,0)),UcretAksam,UcretGunduz)))</f>
        <v/>
      </c>
      <c r="I166" s="19" t="n"/>
      <c r="J166" s="17" t="n"/>
      <c r="K166" s="19">
        <f>IF(H166="","",IF(J166="Evet",0,H166-N(I166)))</f>
        <v/>
      </c>
      <c r="L166" s="17" t="n"/>
      <c r="M166" s="17" t="n"/>
      <c r="N166">
        <f>IF(OR(A166="",C166="",D166="",L166="İptal"),"",IFERROR(INT(A166)*100000+ROUND(C166*1440,0)*10+MATCH(D166,Sahalar,0),""))</f>
        <v/>
      </c>
    </row>
    <row r="167">
      <c r="A167" s="16" t="n"/>
      <c r="B167" s="17">
        <f>IF(A167="","",CHOOSE(WEEKDAY(A167,2),"Pzt","Sal","Çar","Per","Cum","Cmt","Paz"))</f>
        <v/>
      </c>
      <c r="C167" s="18" t="n"/>
      <c r="D167" s="17" t="n"/>
      <c r="E167" s="17" t="n"/>
      <c r="F167" s="17" t="n"/>
      <c r="G167" s="17" t="n"/>
      <c r="H167" s="19">
        <f>IF(OR(A167="",C167=""),"",IF(WEEKDAY(A167,2)&gt;=6,UcretHaftaSonu,IF(OR(C167&gt;=AksamBas,C167&lt;TIME(6,0,0)),UcretAksam,UcretGunduz)))</f>
        <v/>
      </c>
      <c r="I167" s="19" t="n"/>
      <c r="J167" s="17" t="n"/>
      <c r="K167" s="19">
        <f>IF(H167="","",IF(J167="Evet",0,H167-N(I167)))</f>
        <v/>
      </c>
      <c r="L167" s="17" t="n"/>
      <c r="M167" s="17" t="n"/>
      <c r="N167">
        <f>IF(OR(A167="",C167="",D167="",L167="İptal"),"",IFERROR(INT(A167)*100000+ROUND(C167*1440,0)*10+MATCH(D167,Sahalar,0),""))</f>
        <v/>
      </c>
    </row>
    <row r="168">
      <c r="A168" s="16" t="n"/>
      <c r="B168" s="17">
        <f>IF(A168="","",CHOOSE(WEEKDAY(A168,2),"Pzt","Sal","Çar","Per","Cum","Cmt","Paz"))</f>
        <v/>
      </c>
      <c r="C168" s="18" t="n"/>
      <c r="D168" s="17" t="n"/>
      <c r="E168" s="17" t="n"/>
      <c r="F168" s="17" t="n"/>
      <c r="G168" s="17" t="n"/>
      <c r="H168" s="19">
        <f>IF(OR(A168="",C168=""),"",IF(WEEKDAY(A168,2)&gt;=6,UcretHaftaSonu,IF(OR(C168&gt;=AksamBas,C168&lt;TIME(6,0,0)),UcretAksam,UcretGunduz)))</f>
        <v/>
      </c>
      <c r="I168" s="19" t="n"/>
      <c r="J168" s="17" t="n"/>
      <c r="K168" s="19">
        <f>IF(H168="","",IF(J168="Evet",0,H168-N(I168)))</f>
        <v/>
      </c>
      <c r="L168" s="17" t="n"/>
      <c r="M168" s="17" t="n"/>
      <c r="N168">
        <f>IF(OR(A168="",C168="",D168="",L168="İptal"),"",IFERROR(INT(A168)*100000+ROUND(C168*1440,0)*10+MATCH(D168,Sahalar,0),""))</f>
        <v/>
      </c>
    </row>
    <row r="169">
      <c r="A169" s="16" t="n"/>
      <c r="B169" s="17">
        <f>IF(A169="","",CHOOSE(WEEKDAY(A169,2),"Pzt","Sal","Çar","Per","Cum","Cmt","Paz"))</f>
        <v/>
      </c>
      <c r="C169" s="18" t="n"/>
      <c r="D169" s="17" t="n"/>
      <c r="E169" s="17" t="n"/>
      <c r="F169" s="17" t="n"/>
      <c r="G169" s="17" t="n"/>
      <c r="H169" s="19">
        <f>IF(OR(A169="",C169=""),"",IF(WEEKDAY(A169,2)&gt;=6,UcretHaftaSonu,IF(OR(C169&gt;=AksamBas,C169&lt;TIME(6,0,0)),UcretAksam,UcretGunduz)))</f>
        <v/>
      </c>
      <c r="I169" s="19" t="n"/>
      <c r="J169" s="17" t="n"/>
      <c r="K169" s="19">
        <f>IF(H169="","",IF(J169="Evet",0,H169-N(I169)))</f>
        <v/>
      </c>
      <c r="L169" s="17" t="n"/>
      <c r="M169" s="17" t="n"/>
      <c r="N169">
        <f>IF(OR(A169="",C169="",D169="",L169="İptal"),"",IFERROR(INT(A169)*100000+ROUND(C169*1440,0)*10+MATCH(D169,Sahalar,0),""))</f>
        <v/>
      </c>
    </row>
    <row r="170">
      <c r="A170" s="16" t="n"/>
      <c r="B170" s="17">
        <f>IF(A170="","",CHOOSE(WEEKDAY(A170,2),"Pzt","Sal","Çar","Per","Cum","Cmt","Paz"))</f>
        <v/>
      </c>
      <c r="C170" s="18" t="n"/>
      <c r="D170" s="17" t="n"/>
      <c r="E170" s="17" t="n"/>
      <c r="F170" s="17" t="n"/>
      <c r="G170" s="17" t="n"/>
      <c r="H170" s="19">
        <f>IF(OR(A170="",C170=""),"",IF(WEEKDAY(A170,2)&gt;=6,UcretHaftaSonu,IF(OR(C170&gt;=AksamBas,C170&lt;TIME(6,0,0)),UcretAksam,UcretGunduz)))</f>
        <v/>
      </c>
      <c r="I170" s="19" t="n"/>
      <c r="J170" s="17" t="n"/>
      <c r="K170" s="19">
        <f>IF(H170="","",IF(J170="Evet",0,H170-N(I170)))</f>
        <v/>
      </c>
      <c r="L170" s="17" t="n"/>
      <c r="M170" s="17" t="n"/>
      <c r="N170">
        <f>IF(OR(A170="",C170="",D170="",L170="İptal"),"",IFERROR(INT(A170)*100000+ROUND(C170*1440,0)*10+MATCH(D170,Sahalar,0),""))</f>
        <v/>
      </c>
    </row>
    <row r="171">
      <c r="A171" s="16" t="n"/>
      <c r="B171" s="17">
        <f>IF(A171="","",CHOOSE(WEEKDAY(A171,2),"Pzt","Sal","Çar","Per","Cum","Cmt","Paz"))</f>
        <v/>
      </c>
      <c r="C171" s="18" t="n"/>
      <c r="D171" s="17" t="n"/>
      <c r="E171" s="17" t="n"/>
      <c r="F171" s="17" t="n"/>
      <c r="G171" s="17" t="n"/>
      <c r="H171" s="19">
        <f>IF(OR(A171="",C171=""),"",IF(WEEKDAY(A171,2)&gt;=6,UcretHaftaSonu,IF(OR(C171&gt;=AksamBas,C171&lt;TIME(6,0,0)),UcretAksam,UcretGunduz)))</f>
        <v/>
      </c>
      <c r="I171" s="19" t="n"/>
      <c r="J171" s="17" t="n"/>
      <c r="K171" s="19">
        <f>IF(H171="","",IF(J171="Evet",0,H171-N(I171)))</f>
        <v/>
      </c>
      <c r="L171" s="17" t="n"/>
      <c r="M171" s="17" t="n"/>
      <c r="N171">
        <f>IF(OR(A171="",C171="",D171="",L171="İptal"),"",IFERROR(INT(A171)*100000+ROUND(C171*1440,0)*10+MATCH(D171,Sahalar,0),""))</f>
        <v/>
      </c>
    </row>
    <row r="172">
      <c r="A172" s="16" t="n"/>
      <c r="B172" s="17">
        <f>IF(A172="","",CHOOSE(WEEKDAY(A172,2),"Pzt","Sal","Çar","Per","Cum","Cmt","Paz"))</f>
        <v/>
      </c>
      <c r="C172" s="18" t="n"/>
      <c r="D172" s="17" t="n"/>
      <c r="E172" s="17" t="n"/>
      <c r="F172" s="17" t="n"/>
      <c r="G172" s="17" t="n"/>
      <c r="H172" s="19">
        <f>IF(OR(A172="",C172=""),"",IF(WEEKDAY(A172,2)&gt;=6,UcretHaftaSonu,IF(OR(C172&gt;=AksamBas,C172&lt;TIME(6,0,0)),UcretAksam,UcretGunduz)))</f>
        <v/>
      </c>
      <c r="I172" s="19" t="n"/>
      <c r="J172" s="17" t="n"/>
      <c r="K172" s="19">
        <f>IF(H172="","",IF(J172="Evet",0,H172-N(I172)))</f>
        <v/>
      </c>
      <c r="L172" s="17" t="n"/>
      <c r="M172" s="17" t="n"/>
      <c r="N172">
        <f>IF(OR(A172="",C172="",D172="",L172="İptal"),"",IFERROR(INT(A172)*100000+ROUND(C172*1440,0)*10+MATCH(D172,Sahalar,0),""))</f>
        <v/>
      </c>
    </row>
    <row r="173">
      <c r="A173" s="16" t="n"/>
      <c r="B173" s="17">
        <f>IF(A173="","",CHOOSE(WEEKDAY(A173,2),"Pzt","Sal","Çar","Per","Cum","Cmt","Paz"))</f>
        <v/>
      </c>
      <c r="C173" s="18" t="n"/>
      <c r="D173" s="17" t="n"/>
      <c r="E173" s="17" t="n"/>
      <c r="F173" s="17" t="n"/>
      <c r="G173" s="17" t="n"/>
      <c r="H173" s="19">
        <f>IF(OR(A173="",C173=""),"",IF(WEEKDAY(A173,2)&gt;=6,UcretHaftaSonu,IF(OR(C173&gt;=AksamBas,C173&lt;TIME(6,0,0)),UcretAksam,UcretGunduz)))</f>
        <v/>
      </c>
      <c r="I173" s="19" t="n"/>
      <c r="J173" s="17" t="n"/>
      <c r="K173" s="19">
        <f>IF(H173="","",IF(J173="Evet",0,H173-N(I173)))</f>
        <v/>
      </c>
      <c r="L173" s="17" t="n"/>
      <c r="M173" s="17" t="n"/>
      <c r="N173">
        <f>IF(OR(A173="",C173="",D173="",L173="İptal"),"",IFERROR(INT(A173)*100000+ROUND(C173*1440,0)*10+MATCH(D173,Sahalar,0),""))</f>
        <v/>
      </c>
    </row>
    <row r="174">
      <c r="A174" s="16" t="n"/>
      <c r="B174" s="17">
        <f>IF(A174="","",CHOOSE(WEEKDAY(A174,2),"Pzt","Sal","Çar","Per","Cum","Cmt","Paz"))</f>
        <v/>
      </c>
      <c r="C174" s="18" t="n"/>
      <c r="D174" s="17" t="n"/>
      <c r="E174" s="17" t="n"/>
      <c r="F174" s="17" t="n"/>
      <c r="G174" s="17" t="n"/>
      <c r="H174" s="19">
        <f>IF(OR(A174="",C174=""),"",IF(WEEKDAY(A174,2)&gt;=6,UcretHaftaSonu,IF(OR(C174&gt;=AksamBas,C174&lt;TIME(6,0,0)),UcretAksam,UcretGunduz)))</f>
        <v/>
      </c>
      <c r="I174" s="19" t="n"/>
      <c r="J174" s="17" t="n"/>
      <c r="K174" s="19">
        <f>IF(H174="","",IF(J174="Evet",0,H174-N(I174)))</f>
        <v/>
      </c>
      <c r="L174" s="17" t="n"/>
      <c r="M174" s="17" t="n"/>
      <c r="N174">
        <f>IF(OR(A174="",C174="",D174="",L174="İptal"),"",IFERROR(INT(A174)*100000+ROUND(C174*1440,0)*10+MATCH(D174,Sahalar,0),""))</f>
        <v/>
      </c>
    </row>
    <row r="175">
      <c r="A175" s="16" t="n"/>
      <c r="B175" s="17">
        <f>IF(A175="","",CHOOSE(WEEKDAY(A175,2),"Pzt","Sal","Çar","Per","Cum","Cmt","Paz"))</f>
        <v/>
      </c>
      <c r="C175" s="18" t="n"/>
      <c r="D175" s="17" t="n"/>
      <c r="E175" s="17" t="n"/>
      <c r="F175" s="17" t="n"/>
      <c r="G175" s="17" t="n"/>
      <c r="H175" s="19">
        <f>IF(OR(A175="",C175=""),"",IF(WEEKDAY(A175,2)&gt;=6,UcretHaftaSonu,IF(OR(C175&gt;=AksamBas,C175&lt;TIME(6,0,0)),UcretAksam,UcretGunduz)))</f>
        <v/>
      </c>
      <c r="I175" s="19" t="n"/>
      <c r="J175" s="17" t="n"/>
      <c r="K175" s="19">
        <f>IF(H175="","",IF(J175="Evet",0,H175-N(I175)))</f>
        <v/>
      </c>
      <c r="L175" s="17" t="n"/>
      <c r="M175" s="17" t="n"/>
      <c r="N175">
        <f>IF(OR(A175="",C175="",D175="",L175="İptal"),"",IFERROR(INT(A175)*100000+ROUND(C175*1440,0)*10+MATCH(D175,Sahalar,0),""))</f>
        <v/>
      </c>
    </row>
    <row r="176">
      <c r="A176" s="16" t="n"/>
      <c r="B176" s="17">
        <f>IF(A176="","",CHOOSE(WEEKDAY(A176,2),"Pzt","Sal","Çar","Per","Cum","Cmt","Paz"))</f>
        <v/>
      </c>
      <c r="C176" s="18" t="n"/>
      <c r="D176" s="17" t="n"/>
      <c r="E176" s="17" t="n"/>
      <c r="F176" s="17" t="n"/>
      <c r="G176" s="17" t="n"/>
      <c r="H176" s="19">
        <f>IF(OR(A176="",C176=""),"",IF(WEEKDAY(A176,2)&gt;=6,UcretHaftaSonu,IF(OR(C176&gt;=AksamBas,C176&lt;TIME(6,0,0)),UcretAksam,UcretGunduz)))</f>
        <v/>
      </c>
      <c r="I176" s="19" t="n"/>
      <c r="J176" s="17" t="n"/>
      <c r="K176" s="19">
        <f>IF(H176="","",IF(J176="Evet",0,H176-N(I176)))</f>
        <v/>
      </c>
      <c r="L176" s="17" t="n"/>
      <c r="M176" s="17" t="n"/>
      <c r="N176">
        <f>IF(OR(A176="",C176="",D176="",L176="İptal"),"",IFERROR(INT(A176)*100000+ROUND(C176*1440,0)*10+MATCH(D176,Sahalar,0),""))</f>
        <v/>
      </c>
    </row>
    <row r="177">
      <c r="A177" s="16" t="n"/>
      <c r="B177" s="17">
        <f>IF(A177="","",CHOOSE(WEEKDAY(A177,2),"Pzt","Sal","Çar","Per","Cum","Cmt","Paz"))</f>
        <v/>
      </c>
      <c r="C177" s="18" t="n"/>
      <c r="D177" s="17" t="n"/>
      <c r="E177" s="17" t="n"/>
      <c r="F177" s="17" t="n"/>
      <c r="G177" s="17" t="n"/>
      <c r="H177" s="19">
        <f>IF(OR(A177="",C177=""),"",IF(WEEKDAY(A177,2)&gt;=6,UcretHaftaSonu,IF(OR(C177&gt;=AksamBas,C177&lt;TIME(6,0,0)),UcretAksam,UcretGunduz)))</f>
        <v/>
      </c>
      <c r="I177" s="19" t="n"/>
      <c r="J177" s="17" t="n"/>
      <c r="K177" s="19">
        <f>IF(H177="","",IF(J177="Evet",0,H177-N(I177)))</f>
        <v/>
      </c>
      <c r="L177" s="17" t="n"/>
      <c r="M177" s="17" t="n"/>
      <c r="N177">
        <f>IF(OR(A177="",C177="",D177="",L177="İptal"),"",IFERROR(INT(A177)*100000+ROUND(C177*1440,0)*10+MATCH(D177,Sahalar,0),""))</f>
        <v/>
      </c>
    </row>
    <row r="178">
      <c r="A178" s="16" t="n"/>
      <c r="B178" s="17">
        <f>IF(A178="","",CHOOSE(WEEKDAY(A178,2),"Pzt","Sal","Çar","Per","Cum","Cmt","Paz"))</f>
        <v/>
      </c>
      <c r="C178" s="18" t="n"/>
      <c r="D178" s="17" t="n"/>
      <c r="E178" s="17" t="n"/>
      <c r="F178" s="17" t="n"/>
      <c r="G178" s="17" t="n"/>
      <c r="H178" s="19">
        <f>IF(OR(A178="",C178=""),"",IF(WEEKDAY(A178,2)&gt;=6,UcretHaftaSonu,IF(OR(C178&gt;=AksamBas,C178&lt;TIME(6,0,0)),UcretAksam,UcretGunduz)))</f>
        <v/>
      </c>
      <c r="I178" s="19" t="n"/>
      <c r="J178" s="17" t="n"/>
      <c r="K178" s="19">
        <f>IF(H178="","",IF(J178="Evet",0,H178-N(I178)))</f>
        <v/>
      </c>
      <c r="L178" s="17" t="n"/>
      <c r="M178" s="17" t="n"/>
      <c r="N178">
        <f>IF(OR(A178="",C178="",D178="",L178="İptal"),"",IFERROR(INT(A178)*100000+ROUND(C178*1440,0)*10+MATCH(D178,Sahalar,0),""))</f>
        <v/>
      </c>
    </row>
    <row r="179">
      <c r="A179" s="16" t="n"/>
      <c r="B179" s="17">
        <f>IF(A179="","",CHOOSE(WEEKDAY(A179,2),"Pzt","Sal","Çar","Per","Cum","Cmt","Paz"))</f>
        <v/>
      </c>
      <c r="C179" s="18" t="n"/>
      <c r="D179" s="17" t="n"/>
      <c r="E179" s="17" t="n"/>
      <c r="F179" s="17" t="n"/>
      <c r="G179" s="17" t="n"/>
      <c r="H179" s="19">
        <f>IF(OR(A179="",C179=""),"",IF(WEEKDAY(A179,2)&gt;=6,UcretHaftaSonu,IF(OR(C179&gt;=AksamBas,C179&lt;TIME(6,0,0)),UcretAksam,UcretGunduz)))</f>
        <v/>
      </c>
      <c r="I179" s="19" t="n"/>
      <c r="J179" s="17" t="n"/>
      <c r="K179" s="19">
        <f>IF(H179="","",IF(J179="Evet",0,H179-N(I179)))</f>
        <v/>
      </c>
      <c r="L179" s="17" t="n"/>
      <c r="M179" s="17" t="n"/>
      <c r="N179">
        <f>IF(OR(A179="",C179="",D179="",L179="İptal"),"",IFERROR(INT(A179)*100000+ROUND(C179*1440,0)*10+MATCH(D179,Sahalar,0),""))</f>
        <v/>
      </c>
    </row>
    <row r="180">
      <c r="A180" s="16" t="n"/>
      <c r="B180" s="17">
        <f>IF(A180="","",CHOOSE(WEEKDAY(A180,2),"Pzt","Sal","Çar","Per","Cum","Cmt","Paz"))</f>
        <v/>
      </c>
      <c r="C180" s="18" t="n"/>
      <c r="D180" s="17" t="n"/>
      <c r="E180" s="17" t="n"/>
      <c r="F180" s="17" t="n"/>
      <c r="G180" s="17" t="n"/>
      <c r="H180" s="19">
        <f>IF(OR(A180="",C180=""),"",IF(WEEKDAY(A180,2)&gt;=6,UcretHaftaSonu,IF(OR(C180&gt;=AksamBas,C180&lt;TIME(6,0,0)),UcretAksam,UcretGunduz)))</f>
        <v/>
      </c>
      <c r="I180" s="19" t="n"/>
      <c r="J180" s="17" t="n"/>
      <c r="K180" s="19">
        <f>IF(H180="","",IF(J180="Evet",0,H180-N(I180)))</f>
        <v/>
      </c>
      <c r="L180" s="17" t="n"/>
      <c r="M180" s="17" t="n"/>
      <c r="N180">
        <f>IF(OR(A180="",C180="",D180="",L180="İptal"),"",IFERROR(INT(A180)*100000+ROUND(C180*1440,0)*10+MATCH(D180,Sahalar,0),""))</f>
        <v/>
      </c>
    </row>
    <row r="181">
      <c r="A181" s="16" t="n"/>
      <c r="B181" s="17">
        <f>IF(A181="","",CHOOSE(WEEKDAY(A181,2),"Pzt","Sal","Çar","Per","Cum","Cmt","Paz"))</f>
        <v/>
      </c>
      <c r="C181" s="18" t="n"/>
      <c r="D181" s="17" t="n"/>
      <c r="E181" s="17" t="n"/>
      <c r="F181" s="17" t="n"/>
      <c r="G181" s="17" t="n"/>
      <c r="H181" s="19">
        <f>IF(OR(A181="",C181=""),"",IF(WEEKDAY(A181,2)&gt;=6,UcretHaftaSonu,IF(OR(C181&gt;=AksamBas,C181&lt;TIME(6,0,0)),UcretAksam,UcretGunduz)))</f>
        <v/>
      </c>
      <c r="I181" s="19" t="n"/>
      <c r="J181" s="17" t="n"/>
      <c r="K181" s="19">
        <f>IF(H181="","",IF(J181="Evet",0,H181-N(I181)))</f>
        <v/>
      </c>
      <c r="L181" s="17" t="n"/>
      <c r="M181" s="17" t="n"/>
      <c r="N181">
        <f>IF(OR(A181="",C181="",D181="",L181="İptal"),"",IFERROR(INT(A181)*100000+ROUND(C181*1440,0)*10+MATCH(D181,Sahalar,0),""))</f>
        <v/>
      </c>
    </row>
    <row r="182">
      <c r="A182" s="16" t="n"/>
      <c r="B182" s="17">
        <f>IF(A182="","",CHOOSE(WEEKDAY(A182,2),"Pzt","Sal","Çar","Per","Cum","Cmt","Paz"))</f>
        <v/>
      </c>
      <c r="C182" s="18" t="n"/>
      <c r="D182" s="17" t="n"/>
      <c r="E182" s="17" t="n"/>
      <c r="F182" s="17" t="n"/>
      <c r="G182" s="17" t="n"/>
      <c r="H182" s="19">
        <f>IF(OR(A182="",C182=""),"",IF(WEEKDAY(A182,2)&gt;=6,UcretHaftaSonu,IF(OR(C182&gt;=AksamBas,C182&lt;TIME(6,0,0)),UcretAksam,UcretGunduz)))</f>
        <v/>
      </c>
      <c r="I182" s="19" t="n"/>
      <c r="J182" s="17" t="n"/>
      <c r="K182" s="19">
        <f>IF(H182="","",IF(J182="Evet",0,H182-N(I182)))</f>
        <v/>
      </c>
      <c r="L182" s="17" t="n"/>
      <c r="M182" s="17" t="n"/>
      <c r="N182">
        <f>IF(OR(A182="",C182="",D182="",L182="İptal"),"",IFERROR(INT(A182)*100000+ROUND(C182*1440,0)*10+MATCH(D182,Sahalar,0),""))</f>
        <v/>
      </c>
    </row>
    <row r="183">
      <c r="A183" s="16" t="n"/>
      <c r="B183" s="17">
        <f>IF(A183="","",CHOOSE(WEEKDAY(A183,2),"Pzt","Sal","Çar","Per","Cum","Cmt","Paz"))</f>
        <v/>
      </c>
      <c r="C183" s="18" t="n"/>
      <c r="D183" s="17" t="n"/>
      <c r="E183" s="17" t="n"/>
      <c r="F183" s="17" t="n"/>
      <c r="G183" s="17" t="n"/>
      <c r="H183" s="19">
        <f>IF(OR(A183="",C183=""),"",IF(WEEKDAY(A183,2)&gt;=6,UcretHaftaSonu,IF(OR(C183&gt;=AksamBas,C183&lt;TIME(6,0,0)),UcretAksam,UcretGunduz)))</f>
        <v/>
      </c>
      <c r="I183" s="19" t="n"/>
      <c r="J183" s="17" t="n"/>
      <c r="K183" s="19">
        <f>IF(H183="","",IF(J183="Evet",0,H183-N(I183)))</f>
        <v/>
      </c>
      <c r="L183" s="17" t="n"/>
      <c r="M183" s="17" t="n"/>
      <c r="N183">
        <f>IF(OR(A183="",C183="",D183="",L183="İptal"),"",IFERROR(INT(A183)*100000+ROUND(C183*1440,0)*10+MATCH(D183,Sahalar,0),""))</f>
        <v/>
      </c>
    </row>
    <row r="184">
      <c r="A184" s="16" t="n"/>
      <c r="B184" s="17">
        <f>IF(A184="","",CHOOSE(WEEKDAY(A184,2),"Pzt","Sal","Çar","Per","Cum","Cmt","Paz"))</f>
        <v/>
      </c>
      <c r="C184" s="18" t="n"/>
      <c r="D184" s="17" t="n"/>
      <c r="E184" s="17" t="n"/>
      <c r="F184" s="17" t="n"/>
      <c r="G184" s="17" t="n"/>
      <c r="H184" s="19">
        <f>IF(OR(A184="",C184=""),"",IF(WEEKDAY(A184,2)&gt;=6,UcretHaftaSonu,IF(OR(C184&gt;=AksamBas,C184&lt;TIME(6,0,0)),UcretAksam,UcretGunduz)))</f>
        <v/>
      </c>
      <c r="I184" s="19" t="n"/>
      <c r="J184" s="17" t="n"/>
      <c r="K184" s="19">
        <f>IF(H184="","",IF(J184="Evet",0,H184-N(I184)))</f>
        <v/>
      </c>
      <c r="L184" s="17" t="n"/>
      <c r="M184" s="17" t="n"/>
      <c r="N184">
        <f>IF(OR(A184="",C184="",D184="",L184="İptal"),"",IFERROR(INT(A184)*100000+ROUND(C184*1440,0)*10+MATCH(D184,Sahalar,0),""))</f>
        <v/>
      </c>
    </row>
    <row r="185">
      <c r="A185" s="16" t="n"/>
      <c r="B185" s="17">
        <f>IF(A185="","",CHOOSE(WEEKDAY(A185,2),"Pzt","Sal","Çar","Per","Cum","Cmt","Paz"))</f>
        <v/>
      </c>
      <c r="C185" s="18" t="n"/>
      <c r="D185" s="17" t="n"/>
      <c r="E185" s="17" t="n"/>
      <c r="F185" s="17" t="n"/>
      <c r="G185" s="17" t="n"/>
      <c r="H185" s="19">
        <f>IF(OR(A185="",C185=""),"",IF(WEEKDAY(A185,2)&gt;=6,UcretHaftaSonu,IF(OR(C185&gt;=AksamBas,C185&lt;TIME(6,0,0)),UcretAksam,UcretGunduz)))</f>
        <v/>
      </c>
      <c r="I185" s="19" t="n"/>
      <c r="J185" s="17" t="n"/>
      <c r="K185" s="19">
        <f>IF(H185="","",IF(J185="Evet",0,H185-N(I185)))</f>
        <v/>
      </c>
      <c r="L185" s="17" t="n"/>
      <c r="M185" s="17" t="n"/>
      <c r="N185">
        <f>IF(OR(A185="",C185="",D185="",L185="İptal"),"",IFERROR(INT(A185)*100000+ROUND(C185*1440,0)*10+MATCH(D185,Sahalar,0),""))</f>
        <v/>
      </c>
    </row>
    <row r="186">
      <c r="A186" s="16" t="n"/>
      <c r="B186" s="17">
        <f>IF(A186="","",CHOOSE(WEEKDAY(A186,2),"Pzt","Sal","Çar","Per","Cum","Cmt","Paz"))</f>
        <v/>
      </c>
      <c r="C186" s="18" t="n"/>
      <c r="D186" s="17" t="n"/>
      <c r="E186" s="17" t="n"/>
      <c r="F186" s="17" t="n"/>
      <c r="G186" s="17" t="n"/>
      <c r="H186" s="19">
        <f>IF(OR(A186="",C186=""),"",IF(WEEKDAY(A186,2)&gt;=6,UcretHaftaSonu,IF(OR(C186&gt;=AksamBas,C186&lt;TIME(6,0,0)),UcretAksam,UcretGunduz)))</f>
        <v/>
      </c>
      <c r="I186" s="19" t="n"/>
      <c r="J186" s="17" t="n"/>
      <c r="K186" s="19">
        <f>IF(H186="","",IF(J186="Evet",0,H186-N(I186)))</f>
        <v/>
      </c>
      <c r="L186" s="17" t="n"/>
      <c r="M186" s="17" t="n"/>
      <c r="N186">
        <f>IF(OR(A186="",C186="",D186="",L186="İptal"),"",IFERROR(INT(A186)*100000+ROUND(C186*1440,0)*10+MATCH(D186,Sahalar,0),""))</f>
        <v/>
      </c>
    </row>
    <row r="187">
      <c r="A187" s="16" t="n"/>
      <c r="B187" s="17">
        <f>IF(A187="","",CHOOSE(WEEKDAY(A187,2),"Pzt","Sal","Çar","Per","Cum","Cmt","Paz"))</f>
        <v/>
      </c>
      <c r="C187" s="18" t="n"/>
      <c r="D187" s="17" t="n"/>
      <c r="E187" s="17" t="n"/>
      <c r="F187" s="17" t="n"/>
      <c r="G187" s="17" t="n"/>
      <c r="H187" s="19">
        <f>IF(OR(A187="",C187=""),"",IF(WEEKDAY(A187,2)&gt;=6,UcretHaftaSonu,IF(OR(C187&gt;=AksamBas,C187&lt;TIME(6,0,0)),UcretAksam,UcretGunduz)))</f>
        <v/>
      </c>
      <c r="I187" s="19" t="n"/>
      <c r="J187" s="17" t="n"/>
      <c r="K187" s="19">
        <f>IF(H187="","",IF(J187="Evet",0,H187-N(I187)))</f>
        <v/>
      </c>
      <c r="L187" s="17" t="n"/>
      <c r="M187" s="17" t="n"/>
      <c r="N187">
        <f>IF(OR(A187="",C187="",D187="",L187="İptal"),"",IFERROR(INT(A187)*100000+ROUND(C187*1440,0)*10+MATCH(D187,Sahalar,0),""))</f>
        <v/>
      </c>
    </row>
    <row r="188">
      <c r="A188" s="16" t="n"/>
      <c r="B188" s="17">
        <f>IF(A188="","",CHOOSE(WEEKDAY(A188,2),"Pzt","Sal","Çar","Per","Cum","Cmt","Paz"))</f>
        <v/>
      </c>
      <c r="C188" s="18" t="n"/>
      <c r="D188" s="17" t="n"/>
      <c r="E188" s="17" t="n"/>
      <c r="F188" s="17" t="n"/>
      <c r="G188" s="17" t="n"/>
      <c r="H188" s="19">
        <f>IF(OR(A188="",C188=""),"",IF(WEEKDAY(A188,2)&gt;=6,UcretHaftaSonu,IF(OR(C188&gt;=AksamBas,C188&lt;TIME(6,0,0)),UcretAksam,UcretGunduz)))</f>
        <v/>
      </c>
      <c r="I188" s="19" t="n"/>
      <c r="J188" s="17" t="n"/>
      <c r="K188" s="19">
        <f>IF(H188="","",IF(J188="Evet",0,H188-N(I188)))</f>
        <v/>
      </c>
      <c r="L188" s="17" t="n"/>
      <c r="M188" s="17" t="n"/>
      <c r="N188">
        <f>IF(OR(A188="",C188="",D188="",L188="İptal"),"",IFERROR(INT(A188)*100000+ROUND(C188*1440,0)*10+MATCH(D188,Sahalar,0),""))</f>
        <v/>
      </c>
    </row>
    <row r="189">
      <c r="A189" s="16" t="n"/>
      <c r="B189" s="17">
        <f>IF(A189="","",CHOOSE(WEEKDAY(A189,2),"Pzt","Sal","Çar","Per","Cum","Cmt","Paz"))</f>
        <v/>
      </c>
      <c r="C189" s="18" t="n"/>
      <c r="D189" s="17" t="n"/>
      <c r="E189" s="17" t="n"/>
      <c r="F189" s="17" t="n"/>
      <c r="G189" s="17" t="n"/>
      <c r="H189" s="19">
        <f>IF(OR(A189="",C189=""),"",IF(WEEKDAY(A189,2)&gt;=6,UcretHaftaSonu,IF(OR(C189&gt;=AksamBas,C189&lt;TIME(6,0,0)),UcretAksam,UcretGunduz)))</f>
        <v/>
      </c>
      <c r="I189" s="19" t="n"/>
      <c r="J189" s="17" t="n"/>
      <c r="K189" s="19">
        <f>IF(H189="","",IF(J189="Evet",0,H189-N(I189)))</f>
        <v/>
      </c>
      <c r="L189" s="17" t="n"/>
      <c r="M189" s="17" t="n"/>
      <c r="N189">
        <f>IF(OR(A189="",C189="",D189="",L189="İptal"),"",IFERROR(INT(A189)*100000+ROUND(C189*1440,0)*10+MATCH(D189,Sahalar,0),""))</f>
        <v/>
      </c>
    </row>
    <row r="190">
      <c r="A190" s="16" t="n"/>
      <c r="B190" s="17">
        <f>IF(A190="","",CHOOSE(WEEKDAY(A190,2),"Pzt","Sal","Çar","Per","Cum","Cmt","Paz"))</f>
        <v/>
      </c>
      <c r="C190" s="18" t="n"/>
      <c r="D190" s="17" t="n"/>
      <c r="E190" s="17" t="n"/>
      <c r="F190" s="17" t="n"/>
      <c r="G190" s="17" t="n"/>
      <c r="H190" s="19">
        <f>IF(OR(A190="",C190=""),"",IF(WEEKDAY(A190,2)&gt;=6,UcretHaftaSonu,IF(OR(C190&gt;=AksamBas,C190&lt;TIME(6,0,0)),UcretAksam,UcretGunduz)))</f>
        <v/>
      </c>
      <c r="I190" s="19" t="n"/>
      <c r="J190" s="17" t="n"/>
      <c r="K190" s="19">
        <f>IF(H190="","",IF(J190="Evet",0,H190-N(I190)))</f>
        <v/>
      </c>
      <c r="L190" s="17" t="n"/>
      <c r="M190" s="17" t="n"/>
      <c r="N190">
        <f>IF(OR(A190="",C190="",D190="",L190="İptal"),"",IFERROR(INT(A190)*100000+ROUND(C190*1440,0)*10+MATCH(D190,Sahalar,0),""))</f>
        <v/>
      </c>
    </row>
    <row r="191">
      <c r="A191" s="16" t="n"/>
      <c r="B191" s="17">
        <f>IF(A191="","",CHOOSE(WEEKDAY(A191,2),"Pzt","Sal","Çar","Per","Cum","Cmt","Paz"))</f>
        <v/>
      </c>
      <c r="C191" s="18" t="n"/>
      <c r="D191" s="17" t="n"/>
      <c r="E191" s="17" t="n"/>
      <c r="F191" s="17" t="n"/>
      <c r="G191" s="17" t="n"/>
      <c r="H191" s="19">
        <f>IF(OR(A191="",C191=""),"",IF(WEEKDAY(A191,2)&gt;=6,UcretHaftaSonu,IF(OR(C191&gt;=AksamBas,C191&lt;TIME(6,0,0)),UcretAksam,UcretGunduz)))</f>
        <v/>
      </c>
      <c r="I191" s="19" t="n"/>
      <c r="J191" s="17" t="n"/>
      <c r="K191" s="19">
        <f>IF(H191="","",IF(J191="Evet",0,H191-N(I191)))</f>
        <v/>
      </c>
      <c r="L191" s="17" t="n"/>
      <c r="M191" s="17" t="n"/>
      <c r="N191">
        <f>IF(OR(A191="",C191="",D191="",L191="İptal"),"",IFERROR(INT(A191)*100000+ROUND(C191*1440,0)*10+MATCH(D191,Sahalar,0),""))</f>
        <v/>
      </c>
    </row>
    <row r="192">
      <c r="A192" s="16" t="n"/>
      <c r="B192" s="17">
        <f>IF(A192="","",CHOOSE(WEEKDAY(A192,2),"Pzt","Sal","Çar","Per","Cum","Cmt","Paz"))</f>
        <v/>
      </c>
      <c r="C192" s="18" t="n"/>
      <c r="D192" s="17" t="n"/>
      <c r="E192" s="17" t="n"/>
      <c r="F192" s="17" t="n"/>
      <c r="G192" s="17" t="n"/>
      <c r="H192" s="19">
        <f>IF(OR(A192="",C192=""),"",IF(WEEKDAY(A192,2)&gt;=6,UcretHaftaSonu,IF(OR(C192&gt;=AksamBas,C192&lt;TIME(6,0,0)),UcretAksam,UcretGunduz)))</f>
        <v/>
      </c>
      <c r="I192" s="19" t="n"/>
      <c r="J192" s="17" t="n"/>
      <c r="K192" s="19">
        <f>IF(H192="","",IF(J192="Evet",0,H192-N(I192)))</f>
        <v/>
      </c>
      <c r="L192" s="17" t="n"/>
      <c r="M192" s="17" t="n"/>
      <c r="N192">
        <f>IF(OR(A192="",C192="",D192="",L192="İptal"),"",IFERROR(INT(A192)*100000+ROUND(C192*1440,0)*10+MATCH(D192,Sahalar,0),""))</f>
        <v/>
      </c>
    </row>
    <row r="193">
      <c r="A193" s="16" t="n"/>
      <c r="B193" s="17">
        <f>IF(A193="","",CHOOSE(WEEKDAY(A193,2),"Pzt","Sal","Çar","Per","Cum","Cmt","Paz"))</f>
        <v/>
      </c>
      <c r="C193" s="18" t="n"/>
      <c r="D193" s="17" t="n"/>
      <c r="E193" s="17" t="n"/>
      <c r="F193" s="17" t="n"/>
      <c r="G193" s="17" t="n"/>
      <c r="H193" s="19">
        <f>IF(OR(A193="",C193=""),"",IF(WEEKDAY(A193,2)&gt;=6,UcretHaftaSonu,IF(OR(C193&gt;=AksamBas,C193&lt;TIME(6,0,0)),UcretAksam,UcretGunduz)))</f>
        <v/>
      </c>
      <c r="I193" s="19" t="n"/>
      <c r="J193" s="17" t="n"/>
      <c r="K193" s="19">
        <f>IF(H193="","",IF(J193="Evet",0,H193-N(I193)))</f>
        <v/>
      </c>
      <c r="L193" s="17" t="n"/>
      <c r="M193" s="17" t="n"/>
      <c r="N193">
        <f>IF(OR(A193="",C193="",D193="",L193="İptal"),"",IFERROR(INT(A193)*100000+ROUND(C193*1440,0)*10+MATCH(D193,Sahalar,0),""))</f>
        <v/>
      </c>
    </row>
    <row r="194">
      <c r="A194" s="16" t="n"/>
      <c r="B194" s="17">
        <f>IF(A194="","",CHOOSE(WEEKDAY(A194,2),"Pzt","Sal","Çar","Per","Cum","Cmt","Paz"))</f>
        <v/>
      </c>
      <c r="C194" s="18" t="n"/>
      <c r="D194" s="17" t="n"/>
      <c r="E194" s="17" t="n"/>
      <c r="F194" s="17" t="n"/>
      <c r="G194" s="17" t="n"/>
      <c r="H194" s="19">
        <f>IF(OR(A194="",C194=""),"",IF(WEEKDAY(A194,2)&gt;=6,UcretHaftaSonu,IF(OR(C194&gt;=AksamBas,C194&lt;TIME(6,0,0)),UcretAksam,UcretGunduz)))</f>
        <v/>
      </c>
      <c r="I194" s="19" t="n"/>
      <c r="J194" s="17" t="n"/>
      <c r="K194" s="19">
        <f>IF(H194="","",IF(J194="Evet",0,H194-N(I194)))</f>
        <v/>
      </c>
      <c r="L194" s="17" t="n"/>
      <c r="M194" s="17" t="n"/>
      <c r="N194">
        <f>IF(OR(A194="",C194="",D194="",L194="İptal"),"",IFERROR(INT(A194)*100000+ROUND(C194*1440,0)*10+MATCH(D194,Sahalar,0),""))</f>
        <v/>
      </c>
    </row>
    <row r="195">
      <c r="A195" s="16" t="n"/>
      <c r="B195" s="17">
        <f>IF(A195="","",CHOOSE(WEEKDAY(A195,2),"Pzt","Sal","Çar","Per","Cum","Cmt","Paz"))</f>
        <v/>
      </c>
      <c r="C195" s="18" t="n"/>
      <c r="D195" s="17" t="n"/>
      <c r="E195" s="17" t="n"/>
      <c r="F195" s="17" t="n"/>
      <c r="G195" s="17" t="n"/>
      <c r="H195" s="19">
        <f>IF(OR(A195="",C195=""),"",IF(WEEKDAY(A195,2)&gt;=6,UcretHaftaSonu,IF(OR(C195&gt;=AksamBas,C195&lt;TIME(6,0,0)),UcretAksam,UcretGunduz)))</f>
        <v/>
      </c>
      <c r="I195" s="19" t="n"/>
      <c r="J195" s="17" t="n"/>
      <c r="K195" s="19">
        <f>IF(H195="","",IF(J195="Evet",0,H195-N(I195)))</f>
        <v/>
      </c>
      <c r="L195" s="17" t="n"/>
      <c r="M195" s="17" t="n"/>
      <c r="N195">
        <f>IF(OR(A195="",C195="",D195="",L195="İptal"),"",IFERROR(INT(A195)*100000+ROUND(C195*1440,0)*10+MATCH(D195,Sahalar,0),""))</f>
        <v/>
      </c>
    </row>
    <row r="196">
      <c r="A196" s="16" t="n"/>
      <c r="B196" s="17">
        <f>IF(A196="","",CHOOSE(WEEKDAY(A196,2),"Pzt","Sal","Çar","Per","Cum","Cmt","Paz"))</f>
        <v/>
      </c>
      <c r="C196" s="18" t="n"/>
      <c r="D196" s="17" t="n"/>
      <c r="E196" s="17" t="n"/>
      <c r="F196" s="17" t="n"/>
      <c r="G196" s="17" t="n"/>
      <c r="H196" s="19">
        <f>IF(OR(A196="",C196=""),"",IF(WEEKDAY(A196,2)&gt;=6,UcretHaftaSonu,IF(OR(C196&gt;=AksamBas,C196&lt;TIME(6,0,0)),UcretAksam,UcretGunduz)))</f>
        <v/>
      </c>
      <c r="I196" s="19" t="n"/>
      <c r="J196" s="17" t="n"/>
      <c r="K196" s="19">
        <f>IF(H196="","",IF(J196="Evet",0,H196-N(I196)))</f>
        <v/>
      </c>
      <c r="L196" s="17" t="n"/>
      <c r="M196" s="17" t="n"/>
      <c r="N196">
        <f>IF(OR(A196="",C196="",D196="",L196="İptal"),"",IFERROR(INT(A196)*100000+ROUND(C196*1440,0)*10+MATCH(D196,Sahalar,0),""))</f>
        <v/>
      </c>
    </row>
    <row r="197">
      <c r="A197" s="16" t="n"/>
      <c r="B197" s="17">
        <f>IF(A197="","",CHOOSE(WEEKDAY(A197,2),"Pzt","Sal","Çar","Per","Cum","Cmt","Paz"))</f>
        <v/>
      </c>
      <c r="C197" s="18" t="n"/>
      <c r="D197" s="17" t="n"/>
      <c r="E197" s="17" t="n"/>
      <c r="F197" s="17" t="n"/>
      <c r="G197" s="17" t="n"/>
      <c r="H197" s="19">
        <f>IF(OR(A197="",C197=""),"",IF(WEEKDAY(A197,2)&gt;=6,UcretHaftaSonu,IF(OR(C197&gt;=AksamBas,C197&lt;TIME(6,0,0)),UcretAksam,UcretGunduz)))</f>
        <v/>
      </c>
      <c r="I197" s="19" t="n"/>
      <c r="J197" s="17" t="n"/>
      <c r="K197" s="19">
        <f>IF(H197="","",IF(J197="Evet",0,H197-N(I197)))</f>
        <v/>
      </c>
      <c r="L197" s="17" t="n"/>
      <c r="M197" s="17" t="n"/>
      <c r="N197">
        <f>IF(OR(A197="",C197="",D197="",L197="İptal"),"",IFERROR(INT(A197)*100000+ROUND(C197*1440,0)*10+MATCH(D197,Sahalar,0),""))</f>
        <v/>
      </c>
    </row>
    <row r="198">
      <c r="A198" s="16" t="n"/>
      <c r="B198" s="17">
        <f>IF(A198="","",CHOOSE(WEEKDAY(A198,2),"Pzt","Sal","Çar","Per","Cum","Cmt","Paz"))</f>
        <v/>
      </c>
      <c r="C198" s="18" t="n"/>
      <c r="D198" s="17" t="n"/>
      <c r="E198" s="17" t="n"/>
      <c r="F198" s="17" t="n"/>
      <c r="G198" s="17" t="n"/>
      <c r="H198" s="19">
        <f>IF(OR(A198="",C198=""),"",IF(WEEKDAY(A198,2)&gt;=6,UcretHaftaSonu,IF(OR(C198&gt;=AksamBas,C198&lt;TIME(6,0,0)),UcretAksam,UcretGunduz)))</f>
        <v/>
      </c>
      <c r="I198" s="19" t="n"/>
      <c r="J198" s="17" t="n"/>
      <c r="K198" s="19">
        <f>IF(H198="","",IF(J198="Evet",0,H198-N(I198)))</f>
        <v/>
      </c>
      <c r="L198" s="17" t="n"/>
      <c r="M198" s="17" t="n"/>
      <c r="N198">
        <f>IF(OR(A198="",C198="",D198="",L198="İptal"),"",IFERROR(INT(A198)*100000+ROUND(C198*1440,0)*10+MATCH(D198,Sahalar,0),""))</f>
        <v/>
      </c>
    </row>
    <row r="199">
      <c r="A199" s="16" t="n"/>
      <c r="B199" s="17">
        <f>IF(A199="","",CHOOSE(WEEKDAY(A199,2),"Pzt","Sal","Çar","Per","Cum","Cmt","Paz"))</f>
        <v/>
      </c>
      <c r="C199" s="18" t="n"/>
      <c r="D199" s="17" t="n"/>
      <c r="E199" s="17" t="n"/>
      <c r="F199" s="17" t="n"/>
      <c r="G199" s="17" t="n"/>
      <c r="H199" s="19">
        <f>IF(OR(A199="",C199=""),"",IF(WEEKDAY(A199,2)&gt;=6,UcretHaftaSonu,IF(OR(C199&gt;=AksamBas,C199&lt;TIME(6,0,0)),UcretAksam,UcretGunduz)))</f>
        <v/>
      </c>
      <c r="I199" s="19" t="n"/>
      <c r="J199" s="17" t="n"/>
      <c r="K199" s="19">
        <f>IF(H199="","",IF(J199="Evet",0,H199-N(I199)))</f>
        <v/>
      </c>
      <c r="L199" s="17" t="n"/>
      <c r="M199" s="17" t="n"/>
      <c r="N199">
        <f>IF(OR(A199="",C199="",D199="",L199="İptal"),"",IFERROR(INT(A199)*100000+ROUND(C199*1440,0)*10+MATCH(D199,Sahalar,0),""))</f>
        <v/>
      </c>
    </row>
    <row r="200">
      <c r="A200" s="16" t="n"/>
      <c r="B200" s="17">
        <f>IF(A200="","",CHOOSE(WEEKDAY(A200,2),"Pzt","Sal","Çar","Per","Cum","Cmt","Paz"))</f>
        <v/>
      </c>
      <c r="C200" s="18" t="n"/>
      <c r="D200" s="17" t="n"/>
      <c r="E200" s="17" t="n"/>
      <c r="F200" s="17" t="n"/>
      <c r="G200" s="17" t="n"/>
      <c r="H200" s="19">
        <f>IF(OR(A200="",C200=""),"",IF(WEEKDAY(A200,2)&gt;=6,UcretHaftaSonu,IF(OR(C200&gt;=AksamBas,C200&lt;TIME(6,0,0)),UcretAksam,UcretGunduz)))</f>
        <v/>
      </c>
      <c r="I200" s="19" t="n"/>
      <c r="J200" s="17" t="n"/>
      <c r="K200" s="19">
        <f>IF(H200="","",IF(J200="Evet",0,H200-N(I200)))</f>
        <v/>
      </c>
      <c r="L200" s="17" t="n"/>
      <c r="M200" s="17" t="n"/>
      <c r="N200">
        <f>IF(OR(A200="",C200="",D200="",L200="İptal"),"",IFERROR(INT(A200)*100000+ROUND(C200*1440,0)*10+MATCH(D200,Sahalar,0),""))</f>
        <v/>
      </c>
    </row>
    <row r="201">
      <c r="A201" s="16" t="n"/>
      <c r="B201" s="17">
        <f>IF(A201="","",CHOOSE(WEEKDAY(A201,2),"Pzt","Sal","Çar","Per","Cum","Cmt","Paz"))</f>
        <v/>
      </c>
      <c r="C201" s="18" t="n"/>
      <c r="D201" s="17" t="n"/>
      <c r="E201" s="17" t="n"/>
      <c r="F201" s="17" t="n"/>
      <c r="G201" s="17" t="n"/>
      <c r="H201" s="19">
        <f>IF(OR(A201="",C201=""),"",IF(WEEKDAY(A201,2)&gt;=6,UcretHaftaSonu,IF(OR(C201&gt;=AksamBas,C201&lt;TIME(6,0,0)),UcretAksam,UcretGunduz)))</f>
        <v/>
      </c>
      <c r="I201" s="19" t="n"/>
      <c r="J201" s="17" t="n"/>
      <c r="K201" s="19">
        <f>IF(H201="","",IF(J201="Evet",0,H201-N(I201)))</f>
        <v/>
      </c>
      <c r="L201" s="17" t="n"/>
      <c r="M201" s="17" t="n"/>
      <c r="N201">
        <f>IF(OR(A201="",C201="",D201="",L201="İptal"),"",IFERROR(INT(A201)*100000+ROUND(C201*1440,0)*10+MATCH(D201,Sahalar,0),""))</f>
        <v/>
      </c>
    </row>
    <row r="202">
      <c r="A202" s="16" t="n"/>
      <c r="B202" s="17">
        <f>IF(A202="","",CHOOSE(WEEKDAY(A202,2),"Pzt","Sal","Çar","Per","Cum","Cmt","Paz"))</f>
        <v/>
      </c>
      <c r="C202" s="18" t="n"/>
      <c r="D202" s="17" t="n"/>
      <c r="E202" s="17" t="n"/>
      <c r="F202" s="17" t="n"/>
      <c r="G202" s="17" t="n"/>
      <c r="H202" s="19">
        <f>IF(OR(A202="",C202=""),"",IF(WEEKDAY(A202,2)&gt;=6,UcretHaftaSonu,IF(OR(C202&gt;=AksamBas,C202&lt;TIME(6,0,0)),UcretAksam,UcretGunduz)))</f>
        <v/>
      </c>
      <c r="I202" s="19" t="n"/>
      <c r="J202" s="17" t="n"/>
      <c r="K202" s="19">
        <f>IF(H202="","",IF(J202="Evet",0,H202-N(I202)))</f>
        <v/>
      </c>
      <c r="L202" s="17" t="n"/>
      <c r="M202" s="17" t="n"/>
      <c r="N202">
        <f>IF(OR(A202="",C202="",D202="",L202="İptal"),"",IFERROR(INT(A202)*100000+ROUND(C202*1440,0)*10+MATCH(D202,Sahalar,0),""))</f>
        <v/>
      </c>
    </row>
    <row r="203">
      <c r="A203" s="16" t="n"/>
      <c r="B203" s="17">
        <f>IF(A203="","",CHOOSE(WEEKDAY(A203,2),"Pzt","Sal","Çar","Per","Cum","Cmt","Paz"))</f>
        <v/>
      </c>
      <c r="C203" s="18" t="n"/>
      <c r="D203" s="17" t="n"/>
      <c r="E203" s="17" t="n"/>
      <c r="F203" s="17" t="n"/>
      <c r="G203" s="17" t="n"/>
      <c r="H203" s="19">
        <f>IF(OR(A203="",C203=""),"",IF(WEEKDAY(A203,2)&gt;=6,UcretHaftaSonu,IF(OR(C203&gt;=AksamBas,C203&lt;TIME(6,0,0)),UcretAksam,UcretGunduz)))</f>
        <v/>
      </c>
      <c r="I203" s="19" t="n"/>
      <c r="J203" s="17" t="n"/>
      <c r="K203" s="19">
        <f>IF(H203="","",IF(J203="Evet",0,H203-N(I203)))</f>
        <v/>
      </c>
      <c r="L203" s="17" t="n"/>
      <c r="M203" s="17" t="n"/>
      <c r="N203">
        <f>IF(OR(A203="",C203="",D203="",L203="İptal"),"",IFERROR(INT(A203)*100000+ROUND(C203*1440,0)*10+MATCH(D203,Sahalar,0),""))</f>
        <v/>
      </c>
    </row>
    <row r="204">
      <c r="A204" s="16" t="n"/>
      <c r="B204" s="17">
        <f>IF(A204="","",CHOOSE(WEEKDAY(A204,2),"Pzt","Sal","Çar","Per","Cum","Cmt","Paz"))</f>
        <v/>
      </c>
      <c r="C204" s="18" t="n"/>
      <c r="D204" s="17" t="n"/>
      <c r="E204" s="17" t="n"/>
      <c r="F204" s="17" t="n"/>
      <c r="G204" s="17" t="n"/>
      <c r="H204" s="19">
        <f>IF(OR(A204="",C204=""),"",IF(WEEKDAY(A204,2)&gt;=6,UcretHaftaSonu,IF(OR(C204&gt;=AksamBas,C204&lt;TIME(6,0,0)),UcretAksam,UcretGunduz)))</f>
        <v/>
      </c>
      <c r="I204" s="19" t="n"/>
      <c r="J204" s="17" t="n"/>
      <c r="K204" s="19">
        <f>IF(H204="","",IF(J204="Evet",0,H204-N(I204)))</f>
        <v/>
      </c>
      <c r="L204" s="17" t="n"/>
      <c r="M204" s="17" t="n"/>
      <c r="N204">
        <f>IF(OR(A204="",C204="",D204="",L204="İptal"),"",IFERROR(INT(A204)*100000+ROUND(C204*1440,0)*10+MATCH(D204,Sahalar,0),""))</f>
        <v/>
      </c>
    </row>
    <row r="205">
      <c r="A205" s="16" t="n"/>
      <c r="B205" s="17">
        <f>IF(A205="","",CHOOSE(WEEKDAY(A205,2),"Pzt","Sal","Çar","Per","Cum","Cmt","Paz"))</f>
        <v/>
      </c>
      <c r="C205" s="18" t="n"/>
      <c r="D205" s="17" t="n"/>
      <c r="E205" s="17" t="n"/>
      <c r="F205" s="17" t="n"/>
      <c r="G205" s="17" t="n"/>
      <c r="H205" s="19">
        <f>IF(OR(A205="",C205=""),"",IF(WEEKDAY(A205,2)&gt;=6,UcretHaftaSonu,IF(OR(C205&gt;=AksamBas,C205&lt;TIME(6,0,0)),UcretAksam,UcretGunduz)))</f>
        <v/>
      </c>
      <c r="I205" s="19" t="n"/>
      <c r="J205" s="17" t="n"/>
      <c r="K205" s="19">
        <f>IF(H205="","",IF(J205="Evet",0,H205-N(I205)))</f>
        <v/>
      </c>
      <c r="L205" s="17" t="n"/>
      <c r="M205" s="17" t="n"/>
      <c r="N205">
        <f>IF(OR(A205="",C205="",D205="",L205="İptal"),"",IFERROR(INT(A205)*100000+ROUND(C205*1440,0)*10+MATCH(D205,Sahalar,0),""))</f>
        <v/>
      </c>
    </row>
    <row r="206">
      <c r="A206" s="16" t="n"/>
      <c r="B206" s="17">
        <f>IF(A206="","",CHOOSE(WEEKDAY(A206,2),"Pzt","Sal","Çar","Per","Cum","Cmt","Paz"))</f>
        <v/>
      </c>
      <c r="C206" s="18" t="n"/>
      <c r="D206" s="17" t="n"/>
      <c r="E206" s="17" t="n"/>
      <c r="F206" s="17" t="n"/>
      <c r="G206" s="17" t="n"/>
      <c r="H206" s="19">
        <f>IF(OR(A206="",C206=""),"",IF(WEEKDAY(A206,2)&gt;=6,UcretHaftaSonu,IF(OR(C206&gt;=AksamBas,C206&lt;TIME(6,0,0)),UcretAksam,UcretGunduz)))</f>
        <v/>
      </c>
      <c r="I206" s="19" t="n"/>
      <c r="J206" s="17" t="n"/>
      <c r="K206" s="19">
        <f>IF(H206="","",IF(J206="Evet",0,H206-N(I206)))</f>
        <v/>
      </c>
      <c r="L206" s="17" t="n"/>
      <c r="M206" s="17" t="n"/>
      <c r="N206">
        <f>IF(OR(A206="",C206="",D206="",L206="İptal"),"",IFERROR(INT(A206)*100000+ROUND(C206*1440,0)*10+MATCH(D206,Sahalar,0),""))</f>
        <v/>
      </c>
    </row>
    <row r="207">
      <c r="A207" s="16" t="n"/>
      <c r="B207" s="17">
        <f>IF(A207="","",CHOOSE(WEEKDAY(A207,2),"Pzt","Sal","Çar","Per","Cum","Cmt","Paz"))</f>
        <v/>
      </c>
      <c r="C207" s="18" t="n"/>
      <c r="D207" s="17" t="n"/>
      <c r="E207" s="17" t="n"/>
      <c r="F207" s="17" t="n"/>
      <c r="G207" s="17" t="n"/>
      <c r="H207" s="19">
        <f>IF(OR(A207="",C207=""),"",IF(WEEKDAY(A207,2)&gt;=6,UcretHaftaSonu,IF(OR(C207&gt;=AksamBas,C207&lt;TIME(6,0,0)),UcretAksam,UcretGunduz)))</f>
        <v/>
      </c>
      <c r="I207" s="19" t="n"/>
      <c r="J207" s="17" t="n"/>
      <c r="K207" s="19">
        <f>IF(H207="","",IF(J207="Evet",0,H207-N(I207)))</f>
        <v/>
      </c>
      <c r="L207" s="17" t="n"/>
      <c r="M207" s="17" t="n"/>
      <c r="N207">
        <f>IF(OR(A207="",C207="",D207="",L207="İptal"),"",IFERROR(INT(A207)*100000+ROUND(C207*1440,0)*10+MATCH(D207,Sahalar,0),""))</f>
        <v/>
      </c>
    </row>
    <row r="208">
      <c r="A208" s="16" t="n"/>
      <c r="B208" s="17">
        <f>IF(A208="","",CHOOSE(WEEKDAY(A208,2),"Pzt","Sal","Çar","Per","Cum","Cmt","Paz"))</f>
        <v/>
      </c>
      <c r="C208" s="18" t="n"/>
      <c r="D208" s="17" t="n"/>
      <c r="E208" s="17" t="n"/>
      <c r="F208" s="17" t="n"/>
      <c r="G208" s="17" t="n"/>
      <c r="H208" s="19">
        <f>IF(OR(A208="",C208=""),"",IF(WEEKDAY(A208,2)&gt;=6,UcretHaftaSonu,IF(OR(C208&gt;=AksamBas,C208&lt;TIME(6,0,0)),UcretAksam,UcretGunduz)))</f>
        <v/>
      </c>
      <c r="I208" s="19" t="n"/>
      <c r="J208" s="17" t="n"/>
      <c r="K208" s="19">
        <f>IF(H208="","",IF(J208="Evet",0,H208-N(I208)))</f>
        <v/>
      </c>
      <c r="L208" s="17" t="n"/>
      <c r="M208" s="17" t="n"/>
      <c r="N208">
        <f>IF(OR(A208="",C208="",D208="",L208="İptal"),"",IFERROR(INT(A208)*100000+ROUND(C208*1440,0)*10+MATCH(D208,Sahalar,0),""))</f>
        <v/>
      </c>
    </row>
    <row r="209">
      <c r="A209" s="16" t="n"/>
      <c r="B209" s="17">
        <f>IF(A209="","",CHOOSE(WEEKDAY(A209,2),"Pzt","Sal","Çar","Per","Cum","Cmt","Paz"))</f>
        <v/>
      </c>
      <c r="C209" s="18" t="n"/>
      <c r="D209" s="17" t="n"/>
      <c r="E209" s="17" t="n"/>
      <c r="F209" s="17" t="n"/>
      <c r="G209" s="17" t="n"/>
      <c r="H209" s="19">
        <f>IF(OR(A209="",C209=""),"",IF(WEEKDAY(A209,2)&gt;=6,UcretHaftaSonu,IF(OR(C209&gt;=AksamBas,C209&lt;TIME(6,0,0)),UcretAksam,UcretGunduz)))</f>
        <v/>
      </c>
      <c r="I209" s="19" t="n"/>
      <c r="J209" s="17" t="n"/>
      <c r="K209" s="19">
        <f>IF(H209="","",IF(J209="Evet",0,H209-N(I209)))</f>
        <v/>
      </c>
      <c r="L209" s="17" t="n"/>
      <c r="M209" s="17" t="n"/>
      <c r="N209">
        <f>IF(OR(A209="",C209="",D209="",L209="İptal"),"",IFERROR(INT(A209)*100000+ROUND(C209*1440,0)*10+MATCH(D209,Sahalar,0),""))</f>
        <v/>
      </c>
    </row>
    <row r="210">
      <c r="A210" s="16" t="n"/>
      <c r="B210" s="17">
        <f>IF(A210="","",CHOOSE(WEEKDAY(A210,2),"Pzt","Sal","Çar","Per","Cum","Cmt","Paz"))</f>
        <v/>
      </c>
      <c r="C210" s="18" t="n"/>
      <c r="D210" s="17" t="n"/>
      <c r="E210" s="17" t="n"/>
      <c r="F210" s="17" t="n"/>
      <c r="G210" s="17" t="n"/>
      <c r="H210" s="19">
        <f>IF(OR(A210="",C210=""),"",IF(WEEKDAY(A210,2)&gt;=6,UcretHaftaSonu,IF(OR(C210&gt;=AksamBas,C210&lt;TIME(6,0,0)),UcretAksam,UcretGunduz)))</f>
        <v/>
      </c>
      <c r="I210" s="19" t="n"/>
      <c r="J210" s="17" t="n"/>
      <c r="K210" s="19">
        <f>IF(H210="","",IF(J210="Evet",0,H210-N(I210)))</f>
        <v/>
      </c>
      <c r="L210" s="17" t="n"/>
      <c r="M210" s="17" t="n"/>
      <c r="N210">
        <f>IF(OR(A210="",C210="",D210="",L210="İptal"),"",IFERROR(INT(A210)*100000+ROUND(C210*1440,0)*10+MATCH(D210,Sahalar,0),""))</f>
        <v/>
      </c>
    </row>
    <row r="211">
      <c r="A211" s="16" t="n"/>
      <c r="B211" s="17">
        <f>IF(A211="","",CHOOSE(WEEKDAY(A211,2),"Pzt","Sal","Çar","Per","Cum","Cmt","Paz"))</f>
        <v/>
      </c>
      <c r="C211" s="18" t="n"/>
      <c r="D211" s="17" t="n"/>
      <c r="E211" s="17" t="n"/>
      <c r="F211" s="17" t="n"/>
      <c r="G211" s="17" t="n"/>
      <c r="H211" s="19">
        <f>IF(OR(A211="",C211=""),"",IF(WEEKDAY(A211,2)&gt;=6,UcretHaftaSonu,IF(OR(C211&gt;=AksamBas,C211&lt;TIME(6,0,0)),UcretAksam,UcretGunduz)))</f>
        <v/>
      </c>
      <c r="I211" s="19" t="n"/>
      <c r="J211" s="17" t="n"/>
      <c r="K211" s="19">
        <f>IF(H211="","",IF(J211="Evet",0,H211-N(I211)))</f>
        <v/>
      </c>
      <c r="L211" s="17" t="n"/>
      <c r="M211" s="17" t="n"/>
      <c r="N211">
        <f>IF(OR(A211="",C211="",D211="",L211="İptal"),"",IFERROR(INT(A211)*100000+ROUND(C211*1440,0)*10+MATCH(D211,Sahalar,0),""))</f>
        <v/>
      </c>
    </row>
    <row r="212">
      <c r="A212" s="16" t="n"/>
      <c r="B212" s="17">
        <f>IF(A212="","",CHOOSE(WEEKDAY(A212,2),"Pzt","Sal","Çar","Per","Cum","Cmt","Paz"))</f>
        <v/>
      </c>
      <c r="C212" s="18" t="n"/>
      <c r="D212" s="17" t="n"/>
      <c r="E212" s="17" t="n"/>
      <c r="F212" s="17" t="n"/>
      <c r="G212" s="17" t="n"/>
      <c r="H212" s="19">
        <f>IF(OR(A212="",C212=""),"",IF(WEEKDAY(A212,2)&gt;=6,UcretHaftaSonu,IF(OR(C212&gt;=AksamBas,C212&lt;TIME(6,0,0)),UcretAksam,UcretGunduz)))</f>
        <v/>
      </c>
      <c r="I212" s="19" t="n"/>
      <c r="J212" s="17" t="n"/>
      <c r="K212" s="19">
        <f>IF(H212="","",IF(J212="Evet",0,H212-N(I212)))</f>
        <v/>
      </c>
      <c r="L212" s="17" t="n"/>
      <c r="M212" s="17" t="n"/>
      <c r="N212">
        <f>IF(OR(A212="",C212="",D212="",L212="İptal"),"",IFERROR(INT(A212)*100000+ROUND(C212*1440,0)*10+MATCH(D212,Sahalar,0),""))</f>
        <v/>
      </c>
    </row>
    <row r="213">
      <c r="A213" s="16" t="n"/>
      <c r="B213" s="17">
        <f>IF(A213="","",CHOOSE(WEEKDAY(A213,2),"Pzt","Sal","Çar","Per","Cum","Cmt","Paz"))</f>
        <v/>
      </c>
      <c r="C213" s="18" t="n"/>
      <c r="D213" s="17" t="n"/>
      <c r="E213" s="17" t="n"/>
      <c r="F213" s="17" t="n"/>
      <c r="G213" s="17" t="n"/>
      <c r="H213" s="19">
        <f>IF(OR(A213="",C213=""),"",IF(WEEKDAY(A213,2)&gt;=6,UcretHaftaSonu,IF(OR(C213&gt;=AksamBas,C213&lt;TIME(6,0,0)),UcretAksam,UcretGunduz)))</f>
        <v/>
      </c>
      <c r="I213" s="19" t="n"/>
      <c r="J213" s="17" t="n"/>
      <c r="K213" s="19">
        <f>IF(H213="","",IF(J213="Evet",0,H213-N(I213)))</f>
        <v/>
      </c>
      <c r="L213" s="17" t="n"/>
      <c r="M213" s="17" t="n"/>
      <c r="N213">
        <f>IF(OR(A213="",C213="",D213="",L213="İptal"),"",IFERROR(INT(A213)*100000+ROUND(C213*1440,0)*10+MATCH(D213,Sahalar,0),""))</f>
        <v/>
      </c>
    </row>
    <row r="214">
      <c r="A214" s="16" t="n"/>
      <c r="B214" s="17">
        <f>IF(A214="","",CHOOSE(WEEKDAY(A214,2),"Pzt","Sal","Çar","Per","Cum","Cmt","Paz"))</f>
        <v/>
      </c>
      <c r="C214" s="18" t="n"/>
      <c r="D214" s="17" t="n"/>
      <c r="E214" s="17" t="n"/>
      <c r="F214" s="17" t="n"/>
      <c r="G214" s="17" t="n"/>
      <c r="H214" s="19">
        <f>IF(OR(A214="",C214=""),"",IF(WEEKDAY(A214,2)&gt;=6,UcretHaftaSonu,IF(OR(C214&gt;=AksamBas,C214&lt;TIME(6,0,0)),UcretAksam,UcretGunduz)))</f>
        <v/>
      </c>
      <c r="I214" s="19" t="n"/>
      <c r="J214" s="17" t="n"/>
      <c r="K214" s="19">
        <f>IF(H214="","",IF(J214="Evet",0,H214-N(I214)))</f>
        <v/>
      </c>
      <c r="L214" s="17" t="n"/>
      <c r="M214" s="17" t="n"/>
      <c r="N214">
        <f>IF(OR(A214="",C214="",D214="",L214="İptal"),"",IFERROR(INT(A214)*100000+ROUND(C214*1440,0)*10+MATCH(D214,Sahalar,0),""))</f>
        <v/>
      </c>
    </row>
    <row r="215">
      <c r="A215" s="16" t="n"/>
      <c r="B215" s="17">
        <f>IF(A215="","",CHOOSE(WEEKDAY(A215,2),"Pzt","Sal","Çar","Per","Cum","Cmt","Paz"))</f>
        <v/>
      </c>
      <c r="C215" s="18" t="n"/>
      <c r="D215" s="17" t="n"/>
      <c r="E215" s="17" t="n"/>
      <c r="F215" s="17" t="n"/>
      <c r="G215" s="17" t="n"/>
      <c r="H215" s="19">
        <f>IF(OR(A215="",C215=""),"",IF(WEEKDAY(A215,2)&gt;=6,UcretHaftaSonu,IF(OR(C215&gt;=AksamBas,C215&lt;TIME(6,0,0)),UcretAksam,UcretGunduz)))</f>
        <v/>
      </c>
      <c r="I215" s="19" t="n"/>
      <c r="J215" s="17" t="n"/>
      <c r="K215" s="19">
        <f>IF(H215="","",IF(J215="Evet",0,H215-N(I215)))</f>
        <v/>
      </c>
      <c r="L215" s="17" t="n"/>
      <c r="M215" s="17" t="n"/>
      <c r="N215">
        <f>IF(OR(A215="",C215="",D215="",L215="İptal"),"",IFERROR(INT(A215)*100000+ROUND(C215*1440,0)*10+MATCH(D215,Sahalar,0),""))</f>
        <v/>
      </c>
    </row>
    <row r="216">
      <c r="A216" s="16" t="n"/>
      <c r="B216" s="17">
        <f>IF(A216="","",CHOOSE(WEEKDAY(A216,2),"Pzt","Sal","Çar","Per","Cum","Cmt","Paz"))</f>
        <v/>
      </c>
      <c r="C216" s="18" t="n"/>
      <c r="D216" s="17" t="n"/>
      <c r="E216" s="17" t="n"/>
      <c r="F216" s="17" t="n"/>
      <c r="G216" s="17" t="n"/>
      <c r="H216" s="19">
        <f>IF(OR(A216="",C216=""),"",IF(WEEKDAY(A216,2)&gt;=6,UcretHaftaSonu,IF(OR(C216&gt;=AksamBas,C216&lt;TIME(6,0,0)),UcretAksam,UcretGunduz)))</f>
        <v/>
      </c>
      <c r="I216" s="19" t="n"/>
      <c r="J216" s="17" t="n"/>
      <c r="K216" s="19">
        <f>IF(H216="","",IF(J216="Evet",0,H216-N(I216)))</f>
        <v/>
      </c>
      <c r="L216" s="17" t="n"/>
      <c r="M216" s="17" t="n"/>
      <c r="N216">
        <f>IF(OR(A216="",C216="",D216="",L216="İptal"),"",IFERROR(INT(A216)*100000+ROUND(C216*1440,0)*10+MATCH(D216,Sahalar,0),""))</f>
        <v/>
      </c>
    </row>
    <row r="217">
      <c r="A217" s="16" t="n"/>
      <c r="B217" s="17">
        <f>IF(A217="","",CHOOSE(WEEKDAY(A217,2),"Pzt","Sal","Çar","Per","Cum","Cmt","Paz"))</f>
        <v/>
      </c>
      <c r="C217" s="18" t="n"/>
      <c r="D217" s="17" t="n"/>
      <c r="E217" s="17" t="n"/>
      <c r="F217" s="17" t="n"/>
      <c r="G217" s="17" t="n"/>
      <c r="H217" s="19">
        <f>IF(OR(A217="",C217=""),"",IF(WEEKDAY(A217,2)&gt;=6,UcretHaftaSonu,IF(OR(C217&gt;=AksamBas,C217&lt;TIME(6,0,0)),UcretAksam,UcretGunduz)))</f>
        <v/>
      </c>
      <c r="I217" s="19" t="n"/>
      <c r="J217" s="17" t="n"/>
      <c r="K217" s="19">
        <f>IF(H217="","",IF(J217="Evet",0,H217-N(I217)))</f>
        <v/>
      </c>
      <c r="L217" s="17" t="n"/>
      <c r="M217" s="17" t="n"/>
      <c r="N217">
        <f>IF(OR(A217="",C217="",D217="",L217="İptal"),"",IFERROR(INT(A217)*100000+ROUND(C217*1440,0)*10+MATCH(D217,Sahalar,0),""))</f>
        <v/>
      </c>
    </row>
    <row r="218">
      <c r="A218" s="16" t="n"/>
      <c r="B218" s="17">
        <f>IF(A218="","",CHOOSE(WEEKDAY(A218,2),"Pzt","Sal","Çar","Per","Cum","Cmt","Paz"))</f>
        <v/>
      </c>
      <c r="C218" s="18" t="n"/>
      <c r="D218" s="17" t="n"/>
      <c r="E218" s="17" t="n"/>
      <c r="F218" s="17" t="n"/>
      <c r="G218" s="17" t="n"/>
      <c r="H218" s="19">
        <f>IF(OR(A218="",C218=""),"",IF(WEEKDAY(A218,2)&gt;=6,UcretHaftaSonu,IF(OR(C218&gt;=AksamBas,C218&lt;TIME(6,0,0)),UcretAksam,UcretGunduz)))</f>
        <v/>
      </c>
      <c r="I218" s="19" t="n"/>
      <c r="J218" s="17" t="n"/>
      <c r="K218" s="19">
        <f>IF(H218="","",IF(J218="Evet",0,H218-N(I218)))</f>
        <v/>
      </c>
      <c r="L218" s="17" t="n"/>
      <c r="M218" s="17" t="n"/>
      <c r="N218">
        <f>IF(OR(A218="",C218="",D218="",L218="İptal"),"",IFERROR(INT(A218)*100000+ROUND(C218*1440,0)*10+MATCH(D218,Sahalar,0),""))</f>
        <v/>
      </c>
    </row>
    <row r="219">
      <c r="A219" s="16" t="n"/>
      <c r="B219" s="17">
        <f>IF(A219="","",CHOOSE(WEEKDAY(A219,2),"Pzt","Sal","Çar","Per","Cum","Cmt","Paz"))</f>
        <v/>
      </c>
      <c r="C219" s="18" t="n"/>
      <c r="D219" s="17" t="n"/>
      <c r="E219" s="17" t="n"/>
      <c r="F219" s="17" t="n"/>
      <c r="G219" s="17" t="n"/>
      <c r="H219" s="19">
        <f>IF(OR(A219="",C219=""),"",IF(WEEKDAY(A219,2)&gt;=6,UcretHaftaSonu,IF(OR(C219&gt;=AksamBas,C219&lt;TIME(6,0,0)),UcretAksam,UcretGunduz)))</f>
        <v/>
      </c>
      <c r="I219" s="19" t="n"/>
      <c r="J219" s="17" t="n"/>
      <c r="K219" s="19">
        <f>IF(H219="","",IF(J219="Evet",0,H219-N(I219)))</f>
        <v/>
      </c>
      <c r="L219" s="17" t="n"/>
      <c r="M219" s="17" t="n"/>
      <c r="N219">
        <f>IF(OR(A219="",C219="",D219="",L219="İptal"),"",IFERROR(INT(A219)*100000+ROUND(C219*1440,0)*10+MATCH(D219,Sahalar,0),""))</f>
        <v/>
      </c>
    </row>
    <row r="220">
      <c r="A220" s="16" t="n"/>
      <c r="B220" s="17">
        <f>IF(A220="","",CHOOSE(WEEKDAY(A220,2),"Pzt","Sal","Çar","Per","Cum","Cmt","Paz"))</f>
        <v/>
      </c>
      <c r="C220" s="18" t="n"/>
      <c r="D220" s="17" t="n"/>
      <c r="E220" s="17" t="n"/>
      <c r="F220" s="17" t="n"/>
      <c r="G220" s="17" t="n"/>
      <c r="H220" s="19">
        <f>IF(OR(A220="",C220=""),"",IF(WEEKDAY(A220,2)&gt;=6,UcretHaftaSonu,IF(OR(C220&gt;=AksamBas,C220&lt;TIME(6,0,0)),UcretAksam,UcretGunduz)))</f>
        <v/>
      </c>
      <c r="I220" s="19" t="n"/>
      <c r="J220" s="17" t="n"/>
      <c r="K220" s="19">
        <f>IF(H220="","",IF(J220="Evet",0,H220-N(I220)))</f>
        <v/>
      </c>
      <c r="L220" s="17" t="n"/>
      <c r="M220" s="17" t="n"/>
      <c r="N220">
        <f>IF(OR(A220="",C220="",D220="",L220="İptal"),"",IFERROR(INT(A220)*100000+ROUND(C220*1440,0)*10+MATCH(D220,Sahalar,0),""))</f>
        <v/>
      </c>
    </row>
    <row r="221">
      <c r="A221" s="16" t="n"/>
      <c r="B221" s="17">
        <f>IF(A221="","",CHOOSE(WEEKDAY(A221,2),"Pzt","Sal","Çar","Per","Cum","Cmt","Paz"))</f>
        <v/>
      </c>
      <c r="C221" s="18" t="n"/>
      <c r="D221" s="17" t="n"/>
      <c r="E221" s="17" t="n"/>
      <c r="F221" s="17" t="n"/>
      <c r="G221" s="17" t="n"/>
      <c r="H221" s="19">
        <f>IF(OR(A221="",C221=""),"",IF(WEEKDAY(A221,2)&gt;=6,UcretHaftaSonu,IF(OR(C221&gt;=AksamBas,C221&lt;TIME(6,0,0)),UcretAksam,UcretGunduz)))</f>
        <v/>
      </c>
      <c r="I221" s="19" t="n"/>
      <c r="J221" s="17" t="n"/>
      <c r="K221" s="19">
        <f>IF(H221="","",IF(J221="Evet",0,H221-N(I221)))</f>
        <v/>
      </c>
      <c r="L221" s="17" t="n"/>
      <c r="M221" s="17" t="n"/>
      <c r="N221">
        <f>IF(OR(A221="",C221="",D221="",L221="İptal"),"",IFERROR(INT(A221)*100000+ROUND(C221*1440,0)*10+MATCH(D221,Sahalar,0),""))</f>
        <v/>
      </c>
    </row>
    <row r="222">
      <c r="A222" s="16" t="n"/>
      <c r="B222" s="17">
        <f>IF(A222="","",CHOOSE(WEEKDAY(A222,2),"Pzt","Sal","Çar","Per","Cum","Cmt","Paz"))</f>
        <v/>
      </c>
      <c r="C222" s="18" t="n"/>
      <c r="D222" s="17" t="n"/>
      <c r="E222" s="17" t="n"/>
      <c r="F222" s="17" t="n"/>
      <c r="G222" s="17" t="n"/>
      <c r="H222" s="19">
        <f>IF(OR(A222="",C222=""),"",IF(WEEKDAY(A222,2)&gt;=6,UcretHaftaSonu,IF(OR(C222&gt;=AksamBas,C222&lt;TIME(6,0,0)),UcretAksam,UcretGunduz)))</f>
        <v/>
      </c>
      <c r="I222" s="19" t="n"/>
      <c r="J222" s="17" t="n"/>
      <c r="K222" s="19">
        <f>IF(H222="","",IF(J222="Evet",0,H222-N(I222)))</f>
        <v/>
      </c>
      <c r="L222" s="17" t="n"/>
      <c r="M222" s="17" t="n"/>
      <c r="N222">
        <f>IF(OR(A222="",C222="",D222="",L222="İptal"),"",IFERROR(INT(A222)*100000+ROUND(C222*1440,0)*10+MATCH(D222,Sahalar,0),""))</f>
        <v/>
      </c>
    </row>
    <row r="223">
      <c r="A223" s="16" t="n"/>
      <c r="B223" s="17">
        <f>IF(A223="","",CHOOSE(WEEKDAY(A223,2),"Pzt","Sal","Çar","Per","Cum","Cmt","Paz"))</f>
        <v/>
      </c>
      <c r="C223" s="18" t="n"/>
      <c r="D223" s="17" t="n"/>
      <c r="E223" s="17" t="n"/>
      <c r="F223" s="17" t="n"/>
      <c r="G223" s="17" t="n"/>
      <c r="H223" s="19">
        <f>IF(OR(A223="",C223=""),"",IF(WEEKDAY(A223,2)&gt;=6,UcretHaftaSonu,IF(OR(C223&gt;=AksamBas,C223&lt;TIME(6,0,0)),UcretAksam,UcretGunduz)))</f>
        <v/>
      </c>
      <c r="I223" s="19" t="n"/>
      <c r="J223" s="17" t="n"/>
      <c r="K223" s="19">
        <f>IF(H223="","",IF(J223="Evet",0,H223-N(I223)))</f>
        <v/>
      </c>
      <c r="L223" s="17" t="n"/>
      <c r="M223" s="17" t="n"/>
      <c r="N223">
        <f>IF(OR(A223="",C223="",D223="",L223="İptal"),"",IFERROR(INT(A223)*100000+ROUND(C223*1440,0)*10+MATCH(D223,Sahalar,0),""))</f>
        <v/>
      </c>
    </row>
    <row r="224">
      <c r="A224" s="16" t="n"/>
      <c r="B224" s="17">
        <f>IF(A224="","",CHOOSE(WEEKDAY(A224,2),"Pzt","Sal","Çar","Per","Cum","Cmt","Paz"))</f>
        <v/>
      </c>
      <c r="C224" s="18" t="n"/>
      <c r="D224" s="17" t="n"/>
      <c r="E224" s="17" t="n"/>
      <c r="F224" s="17" t="n"/>
      <c r="G224" s="17" t="n"/>
      <c r="H224" s="19">
        <f>IF(OR(A224="",C224=""),"",IF(WEEKDAY(A224,2)&gt;=6,UcretHaftaSonu,IF(OR(C224&gt;=AksamBas,C224&lt;TIME(6,0,0)),UcretAksam,UcretGunduz)))</f>
        <v/>
      </c>
      <c r="I224" s="19" t="n"/>
      <c r="J224" s="17" t="n"/>
      <c r="K224" s="19">
        <f>IF(H224="","",IF(J224="Evet",0,H224-N(I224)))</f>
        <v/>
      </c>
      <c r="L224" s="17" t="n"/>
      <c r="M224" s="17" t="n"/>
      <c r="N224">
        <f>IF(OR(A224="",C224="",D224="",L224="İptal"),"",IFERROR(INT(A224)*100000+ROUND(C224*1440,0)*10+MATCH(D224,Sahalar,0),""))</f>
        <v/>
      </c>
    </row>
    <row r="225">
      <c r="A225" s="16" t="n"/>
      <c r="B225" s="17">
        <f>IF(A225="","",CHOOSE(WEEKDAY(A225,2),"Pzt","Sal","Çar","Per","Cum","Cmt","Paz"))</f>
        <v/>
      </c>
      <c r="C225" s="18" t="n"/>
      <c r="D225" s="17" t="n"/>
      <c r="E225" s="17" t="n"/>
      <c r="F225" s="17" t="n"/>
      <c r="G225" s="17" t="n"/>
      <c r="H225" s="19">
        <f>IF(OR(A225="",C225=""),"",IF(WEEKDAY(A225,2)&gt;=6,UcretHaftaSonu,IF(OR(C225&gt;=AksamBas,C225&lt;TIME(6,0,0)),UcretAksam,UcretGunduz)))</f>
        <v/>
      </c>
      <c r="I225" s="19" t="n"/>
      <c r="J225" s="17" t="n"/>
      <c r="K225" s="19">
        <f>IF(H225="","",IF(J225="Evet",0,H225-N(I225)))</f>
        <v/>
      </c>
      <c r="L225" s="17" t="n"/>
      <c r="M225" s="17" t="n"/>
      <c r="N225">
        <f>IF(OR(A225="",C225="",D225="",L225="İptal"),"",IFERROR(INT(A225)*100000+ROUND(C225*1440,0)*10+MATCH(D225,Sahalar,0),""))</f>
        <v/>
      </c>
    </row>
    <row r="226">
      <c r="A226" s="16" t="n"/>
      <c r="B226" s="17">
        <f>IF(A226="","",CHOOSE(WEEKDAY(A226,2),"Pzt","Sal","Çar","Per","Cum","Cmt","Paz"))</f>
        <v/>
      </c>
      <c r="C226" s="18" t="n"/>
      <c r="D226" s="17" t="n"/>
      <c r="E226" s="17" t="n"/>
      <c r="F226" s="17" t="n"/>
      <c r="G226" s="17" t="n"/>
      <c r="H226" s="19">
        <f>IF(OR(A226="",C226=""),"",IF(WEEKDAY(A226,2)&gt;=6,UcretHaftaSonu,IF(OR(C226&gt;=AksamBas,C226&lt;TIME(6,0,0)),UcretAksam,UcretGunduz)))</f>
        <v/>
      </c>
      <c r="I226" s="19" t="n"/>
      <c r="J226" s="17" t="n"/>
      <c r="K226" s="19">
        <f>IF(H226="","",IF(J226="Evet",0,H226-N(I226)))</f>
        <v/>
      </c>
      <c r="L226" s="17" t="n"/>
      <c r="M226" s="17" t="n"/>
      <c r="N226">
        <f>IF(OR(A226="",C226="",D226="",L226="İptal"),"",IFERROR(INT(A226)*100000+ROUND(C226*1440,0)*10+MATCH(D226,Sahalar,0),""))</f>
        <v/>
      </c>
    </row>
    <row r="227">
      <c r="A227" s="16" t="n"/>
      <c r="B227" s="17">
        <f>IF(A227="","",CHOOSE(WEEKDAY(A227,2),"Pzt","Sal","Çar","Per","Cum","Cmt","Paz"))</f>
        <v/>
      </c>
      <c r="C227" s="18" t="n"/>
      <c r="D227" s="17" t="n"/>
      <c r="E227" s="17" t="n"/>
      <c r="F227" s="17" t="n"/>
      <c r="G227" s="17" t="n"/>
      <c r="H227" s="19">
        <f>IF(OR(A227="",C227=""),"",IF(WEEKDAY(A227,2)&gt;=6,UcretHaftaSonu,IF(OR(C227&gt;=AksamBas,C227&lt;TIME(6,0,0)),UcretAksam,UcretGunduz)))</f>
        <v/>
      </c>
      <c r="I227" s="19" t="n"/>
      <c r="J227" s="17" t="n"/>
      <c r="K227" s="19">
        <f>IF(H227="","",IF(J227="Evet",0,H227-N(I227)))</f>
        <v/>
      </c>
      <c r="L227" s="17" t="n"/>
      <c r="M227" s="17" t="n"/>
      <c r="N227">
        <f>IF(OR(A227="",C227="",D227="",L227="İptal"),"",IFERROR(INT(A227)*100000+ROUND(C227*1440,0)*10+MATCH(D227,Sahalar,0),""))</f>
        <v/>
      </c>
    </row>
    <row r="228">
      <c r="A228" s="16" t="n"/>
      <c r="B228" s="17">
        <f>IF(A228="","",CHOOSE(WEEKDAY(A228,2),"Pzt","Sal","Çar","Per","Cum","Cmt","Paz"))</f>
        <v/>
      </c>
      <c r="C228" s="18" t="n"/>
      <c r="D228" s="17" t="n"/>
      <c r="E228" s="17" t="n"/>
      <c r="F228" s="17" t="n"/>
      <c r="G228" s="17" t="n"/>
      <c r="H228" s="19">
        <f>IF(OR(A228="",C228=""),"",IF(WEEKDAY(A228,2)&gt;=6,UcretHaftaSonu,IF(OR(C228&gt;=AksamBas,C228&lt;TIME(6,0,0)),UcretAksam,UcretGunduz)))</f>
        <v/>
      </c>
      <c r="I228" s="19" t="n"/>
      <c r="J228" s="17" t="n"/>
      <c r="K228" s="19">
        <f>IF(H228="","",IF(J228="Evet",0,H228-N(I228)))</f>
        <v/>
      </c>
      <c r="L228" s="17" t="n"/>
      <c r="M228" s="17" t="n"/>
      <c r="N228">
        <f>IF(OR(A228="",C228="",D228="",L228="İptal"),"",IFERROR(INT(A228)*100000+ROUND(C228*1440,0)*10+MATCH(D228,Sahalar,0),""))</f>
        <v/>
      </c>
    </row>
    <row r="229">
      <c r="A229" s="16" t="n"/>
      <c r="B229" s="17">
        <f>IF(A229="","",CHOOSE(WEEKDAY(A229,2),"Pzt","Sal","Çar","Per","Cum","Cmt","Paz"))</f>
        <v/>
      </c>
      <c r="C229" s="18" t="n"/>
      <c r="D229" s="17" t="n"/>
      <c r="E229" s="17" t="n"/>
      <c r="F229" s="17" t="n"/>
      <c r="G229" s="17" t="n"/>
      <c r="H229" s="19">
        <f>IF(OR(A229="",C229=""),"",IF(WEEKDAY(A229,2)&gt;=6,UcretHaftaSonu,IF(OR(C229&gt;=AksamBas,C229&lt;TIME(6,0,0)),UcretAksam,UcretGunduz)))</f>
        <v/>
      </c>
      <c r="I229" s="19" t="n"/>
      <c r="J229" s="17" t="n"/>
      <c r="K229" s="19">
        <f>IF(H229="","",IF(J229="Evet",0,H229-N(I229)))</f>
        <v/>
      </c>
      <c r="L229" s="17" t="n"/>
      <c r="M229" s="17" t="n"/>
      <c r="N229">
        <f>IF(OR(A229="",C229="",D229="",L229="İptal"),"",IFERROR(INT(A229)*100000+ROUND(C229*1440,0)*10+MATCH(D229,Sahalar,0),""))</f>
        <v/>
      </c>
    </row>
    <row r="230">
      <c r="A230" s="16" t="n"/>
      <c r="B230" s="17">
        <f>IF(A230="","",CHOOSE(WEEKDAY(A230,2),"Pzt","Sal","Çar","Per","Cum","Cmt","Paz"))</f>
        <v/>
      </c>
      <c r="C230" s="18" t="n"/>
      <c r="D230" s="17" t="n"/>
      <c r="E230" s="17" t="n"/>
      <c r="F230" s="17" t="n"/>
      <c r="G230" s="17" t="n"/>
      <c r="H230" s="19">
        <f>IF(OR(A230="",C230=""),"",IF(WEEKDAY(A230,2)&gt;=6,UcretHaftaSonu,IF(OR(C230&gt;=AksamBas,C230&lt;TIME(6,0,0)),UcretAksam,UcretGunduz)))</f>
        <v/>
      </c>
      <c r="I230" s="19" t="n"/>
      <c r="J230" s="17" t="n"/>
      <c r="K230" s="19">
        <f>IF(H230="","",IF(J230="Evet",0,H230-N(I230)))</f>
        <v/>
      </c>
      <c r="L230" s="17" t="n"/>
      <c r="M230" s="17" t="n"/>
      <c r="N230">
        <f>IF(OR(A230="",C230="",D230="",L230="İptal"),"",IFERROR(INT(A230)*100000+ROUND(C230*1440,0)*10+MATCH(D230,Sahalar,0),""))</f>
        <v/>
      </c>
    </row>
    <row r="231">
      <c r="A231" s="16" t="n"/>
      <c r="B231" s="17">
        <f>IF(A231="","",CHOOSE(WEEKDAY(A231,2),"Pzt","Sal","Çar","Per","Cum","Cmt","Paz"))</f>
        <v/>
      </c>
      <c r="C231" s="18" t="n"/>
      <c r="D231" s="17" t="n"/>
      <c r="E231" s="17" t="n"/>
      <c r="F231" s="17" t="n"/>
      <c r="G231" s="17" t="n"/>
      <c r="H231" s="19">
        <f>IF(OR(A231="",C231=""),"",IF(WEEKDAY(A231,2)&gt;=6,UcretHaftaSonu,IF(OR(C231&gt;=AksamBas,C231&lt;TIME(6,0,0)),UcretAksam,UcretGunduz)))</f>
        <v/>
      </c>
      <c r="I231" s="19" t="n"/>
      <c r="J231" s="17" t="n"/>
      <c r="K231" s="19">
        <f>IF(H231="","",IF(J231="Evet",0,H231-N(I231)))</f>
        <v/>
      </c>
      <c r="L231" s="17" t="n"/>
      <c r="M231" s="17" t="n"/>
      <c r="N231">
        <f>IF(OR(A231="",C231="",D231="",L231="İptal"),"",IFERROR(INT(A231)*100000+ROUND(C231*1440,0)*10+MATCH(D231,Sahalar,0),""))</f>
        <v/>
      </c>
    </row>
    <row r="232">
      <c r="A232" s="16" t="n"/>
      <c r="B232" s="17">
        <f>IF(A232="","",CHOOSE(WEEKDAY(A232,2),"Pzt","Sal","Çar","Per","Cum","Cmt","Paz"))</f>
        <v/>
      </c>
      <c r="C232" s="18" t="n"/>
      <c r="D232" s="17" t="n"/>
      <c r="E232" s="17" t="n"/>
      <c r="F232" s="17" t="n"/>
      <c r="G232" s="17" t="n"/>
      <c r="H232" s="19">
        <f>IF(OR(A232="",C232=""),"",IF(WEEKDAY(A232,2)&gt;=6,UcretHaftaSonu,IF(OR(C232&gt;=AksamBas,C232&lt;TIME(6,0,0)),UcretAksam,UcretGunduz)))</f>
        <v/>
      </c>
      <c r="I232" s="19" t="n"/>
      <c r="J232" s="17" t="n"/>
      <c r="K232" s="19">
        <f>IF(H232="","",IF(J232="Evet",0,H232-N(I232)))</f>
        <v/>
      </c>
      <c r="L232" s="17" t="n"/>
      <c r="M232" s="17" t="n"/>
      <c r="N232">
        <f>IF(OR(A232="",C232="",D232="",L232="İptal"),"",IFERROR(INT(A232)*100000+ROUND(C232*1440,0)*10+MATCH(D232,Sahalar,0),""))</f>
        <v/>
      </c>
    </row>
    <row r="233">
      <c r="A233" s="16" t="n"/>
      <c r="B233" s="17">
        <f>IF(A233="","",CHOOSE(WEEKDAY(A233,2),"Pzt","Sal","Çar","Per","Cum","Cmt","Paz"))</f>
        <v/>
      </c>
      <c r="C233" s="18" t="n"/>
      <c r="D233" s="17" t="n"/>
      <c r="E233" s="17" t="n"/>
      <c r="F233" s="17" t="n"/>
      <c r="G233" s="17" t="n"/>
      <c r="H233" s="19">
        <f>IF(OR(A233="",C233=""),"",IF(WEEKDAY(A233,2)&gt;=6,UcretHaftaSonu,IF(OR(C233&gt;=AksamBas,C233&lt;TIME(6,0,0)),UcretAksam,UcretGunduz)))</f>
        <v/>
      </c>
      <c r="I233" s="19" t="n"/>
      <c r="J233" s="17" t="n"/>
      <c r="K233" s="19">
        <f>IF(H233="","",IF(J233="Evet",0,H233-N(I233)))</f>
        <v/>
      </c>
      <c r="L233" s="17" t="n"/>
      <c r="M233" s="17" t="n"/>
      <c r="N233">
        <f>IF(OR(A233="",C233="",D233="",L233="İptal"),"",IFERROR(INT(A233)*100000+ROUND(C233*1440,0)*10+MATCH(D233,Sahalar,0),""))</f>
        <v/>
      </c>
    </row>
    <row r="234">
      <c r="A234" s="16" t="n"/>
      <c r="B234" s="17">
        <f>IF(A234="","",CHOOSE(WEEKDAY(A234,2),"Pzt","Sal","Çar","Per","Cum","Cmt","Paz"))</f>
        <v/>
      </c>
      <c r="C234" s="18" t="n"/>
      <c r="D234" s="17" t="n"/>
      <c r="E234" s="17" t="n"/>
      <c r="F234" s="17" t="n"/>
      <c r="G234" s="17" t="n"/>
      <c r="H234" s="19">
        <f>IF(OR(A234="",C234=""),"",IF(WEEKDAY(A234,2)&gt;=6,UcretHaftaSonu,IF(OR(C234&gt;=AksamBas,C234&lt;TIME(6,0,0)),UcretAksam,UcretGunduz)))</f>
        <v/>
      </c>
      <c r="I234" s="19" t="n"/>
      <c r="J234" s="17" t="n"/>
      <c r="K234" s="19">
        <f>IF(H234="","",IF(J234="Evet",0,H234-N(I234)))</f>
        <v/>
      </c>
      <c r="L234" s="17" t="n"/>
      <c r="M234" s="17" t="n"/>
      <c r="N234">
        <f>IF(OR(A234="",C234="",D234="",L234="İptal"),"",IFERROR(INT(A234)*100000+ROUND(C234*1440,0)*10+MATCH(D234,Sahalar,0),""))</f>
        <v/>
      </c>
    </row>
    <row r="235">
      <c r="A235" s="16" t="n"/>
      <c r="B235" s="17">
        <f>IF(A235="","",CHOOSE(WEEKDAY(A235,2),"Pzt","Sal","Çar","Per","Cum","Cmt","Paz"))</f>
        <v/>
      </c>
      <c r="C235" s="18" t="n"/>
      <c r="D235" s="17" t="n"/>
      <c r="E235" s="17" t="n"/>
      <c r="F235" s="17" t="n"/>
      <c r="G235" s="17" t="n"/>
      <c r="H235" s="19">
        <f>IF(OR(A235="",C235=""),"",IF(WEEKDAY(A235,2)&gt;=6,UcretHaftaSonu,IF(OR(C235&gt;=AksamBas,C235&lt;TIME(6,0,0)),UcretAksam,UcretGunduz)))</f>
        <v/>
      </c>
      <c r="I235" s="19" t="n"/>
      <c r="J235" s="17" t="n"/>
      <c r="K235" s="19">
        <f>IF(H235="","",IF(J235="Evet",0,H235-N(I235)))</f>
        <v/>
      </c>
      <c r="L235" s="17" t="n"/>
      <c r="M235" s="17" t="n"/>
      <c r="N235">
        <f>IF(OR(A235="",C235="",D235="",L235="İptal"),"",IFERROR(INT(A235)*100000+ROUND(C235*1440,0)*10+MATCH(D235,Sahalar,0),""))</f>
        <v/>
      </c>
    </row>
    <row r="236">
      <c r="A236" s="16" t="n"/>
      <c r="B236" s="17">
        <f>IF(A236="","",CHOOSE(WEEKDAY(A236,2),"Pzt","Sal","Çar","Per","Cum","Cmt","Paz"))</f>
        <v/>
      </c>
      <c r="C236" s="18" t="n"/>
      <c r="D236" s="17" t="n"/>
      <c r="E236" s="17" t="n"/>
      <c r="F236" s="17" t="n"/>
      <c r="G236" s="17" t="n"/>
      <c r="H236" s="19">
        <f>IF(OR(A236="",C236=""),"",IF(WEEKDAY(A236,2)&gt;=6,UcretHaftaSonu,IF(OR(C236&gt;=AksamBas,C236&lt;TIME(6,0,0)),UcretAksam,UcretGunduz)))</f>
        <v/>
      </c>
      <c r="I236" s="19" t="n"/>
      <c r="J236" s="17" t="n"/>
      <c r="K236" s="19">
        <f>IF(H236="","",IF(J236="Evet",0,H236-N(I236)))</f>
        <v/>
      </c>
      <c r="L236" s="17" t="n"/>
      <c r="M236" s="17" t="n"/>
      <c r="N236">
        <f>IF(OR(A236="",C236="",D236="",L236="İptal"),"",IFERROR(INT(A236)*100000+ROUND(C236*1440,0)*10+MATCH(D236,Sahalar,0),""))</f>
        <v/>
      </c>
    </row>
    <row r="237">
      <c r="A237" s="16" t="n"/>
      <c r="B237" s="17">
        <f>IF(A237="","",CHOOSE(WEEKDAY(A237,2),"Pzt","Sal","Çar","Per","Cum","Cmt","Paz"))</f>
        <v/>
      </c>
      <c r="C237" s="18" t="n"/>
      <c r="D237" s="17" t="n"/>
      <c r="E237" s="17" t="n"/>
      <c r="F237" s="17" t="n"/>
      <c r="G237" s="17" t="n"/>
      <c r="H237" s="19">
        <f>IF(OR(A237="",C237=""),"",IF(WEEKDAY(A237,2)&gt;=6,UcretHaftaSonu,IF(OR(C237&gt;=AksamBas,C237&lt;TIME(6,0,0)),UcretAksam,UcretGunduz)))</f>
        <v/>
      </c>
      <c r="I237" s="19" t="n"/>
      <c r="J237" s="17" t="n"/>
      <c r="K237" s="19">
        <f>IF(H237="","",IF(J237="Evet",0,H237-N(I237)))</f>
        <v/>
      </c>
      <c r="L237" s="17" t="n"/>
      <c r="M237" s="17" t="n"/>
      <c r="N237">
        <f>IF(OR(A237="",C237="",D237="",L237="İptal"),"",IFERROR(INT(A237)*100000+ROUND(C237*1440,0)*10+MATCH(D237,Sahalar,0),""))</f>
        <v/>
      </c>
    </row>
    <row r="238">
      <c r="A238" s="16" t="n"/>
      <c r="B238" s="17">
        <f>IF(A238="","",CHOOSE(WEEKDAY(A238,2),"Pzt","Sal","Çar","Per","Cum","Cmt","Paz"))</f>
        <v/>
      </c>
      <c r="C238" s="18" t="n"/>
      <c r="D238" s="17" t="n"/>
      <c r="E238" s="17" t="n"/>
      <c r="F238" s="17" t="n"/>
      <c r="G238" s="17" t="n"/>
      <c r="H238" s="19">
        <f>IF(OR(A238="",C238=""),"",IF(WEEKDAY(A238,2)&gt;=6,UcretHaftaSonu,IF(OR(C238&gt;=AksamBas,C238&lt;TIME(6,0,0)),UcretAksam,UcretGunduz)))</f>
        <v/>
      </c>
      <c r="I238" s="19" t="n"/>
      <c r="J238" s="17" t="n"/>
      <c r="K238" s="19">
        <f>IF(H238="","",IF(J238="Evet",0,H238-N(I238)))</f>
        <v/>
      </c>
      <c r="L238" s="17" t="n"/>
      <c r="M238" s="17" t="n"/>
      <c r="N238">
        <f>IF(OR(A238="",C238="",D238="",L238="İptal"),"",IFERROR(INT(A238)*100000+ROUND(C238*1440,0)*10+MATCH(D238,Sahalar,0),""))</f>
        <v/>
      </c>
    </row>
    <row r="239">
      <c r="A239" s="16" t="n"/>
      <c r="B239" s="17">
        <f>IF(A239="","",CHOOSE(WEEKDAY(A239,2),"Pzt","Sal","Çar","Per","Cum","Cmt","Paz"))</f>
        <v/>
      </c>
      <c r="C239" s="18" t="n"/>
      <c r="D239" s="17" t="n"/>
      <c r="E239" s="17" t="n"/>
      <c r="F239" s="17" t="n"/>
      <c r="G239" s="17" t="n"/>
      <c r="H239" s="19">
        <f>IF(OR(A239="",C239=""),"",IF(WEEKDAY(A239,2)&gt;=6,UcretHaftaSonu,IF(OR(C239&gt;=AksamBas,C239&lt;TIME(6,0,0)),UcretAksam,UcretGunduz)))</f>
        <v/>
      </c>
      <c r="I239" s="19" t="n"/>
      <c r="J239" s="17" t="n"/>
      <c r="K239" s="19">
        <f>IF(H239="","",IF(J239="Evet",0,H239-N(I239)))</f>
        <v/>
      </c>
      <c r="L239" s="17" t="n"/>
      <c r="M239" s="17" t="n"/>
      <c r="N239">
        <f>IF(OR(A239="",C239="",D239="",L239="İptal"),"",IFERROR(INT(A239)*100000+ROUND(C239*1440,0)*10+MATCH(D239,Sahalar,0),""))</f>
        <v/>
      </c>
    </row>
    <row r="240">
      <c r="A240" s="16" t="n"/>
      <c r="B240" s="17">
        <f>IF(A240="","",CHOOSE(WEEKDAY(A240,2),"Pzt","Sal","Çar","Per","Cum","Cmt","Paz"))</f>
        <v/>
      </c>
      <c r="C240" s="18" t="n"/>
      <c r="D240" s="17" t="n"/>
      <c r="E240" s="17" t="n"/>
      <c r="F240" s="17" t="n"/>
      <c r="G240" s="17" t="n"/>
      <c r="H240" s="19">
        <f>IF(OR(A240="",C240=""),"",IF(WEEKDAY(A240,2)&gt;=6,UcretHaftaSonu,IF(OR(C240&gt;=AksamBas,C240&lt;TIME(6,0,0)),UcretAksam,UcretGunduz)))</f>
        <v/>
      </c>
      <c r="I240" s="19" t="n"/>
      <c r="J240" s="17" t="n"/>
      <c r="K240" s="19">
        <f>IF(H240="","",IF(J240="Evet",0,H240-N(I240)))</f>
        <v/>
      </c>
      <c r="L240" s="17" t="n"/>
      <c r="M240" s="17" t="n"/>
      <c r="N240">
        <f>IF(OR(A240="",C240="",D240="",L240="İptal"),"",IFERROR(INT(A240)*100000+ROUND(C240*1440,0)*10+MATCH(D240,Sahalar,0),""))</f>
        <v/>
      </c>
    </row>
    <row r="241">
      <c r="A241" s="16" t="n"/>
      <c r="B241" s="17">
        <f>IF(A241="","",CHOOSE(WEEKDAY(A241,2),"Pzt","Sal","Çar","Per","Cum","Cmt","Paz"))</f>
        <v/>
      </c>
      <c r="C241" s="18" t="n"/>
      <c r="D241" s="17" t="n"/>
      <c r="E241" s="17" t="n"/>
      <c r="F241" s="17" t="n"/>
      <c r="G241" s="17" t="n"/>
      <c r="H241" s="19">
        <f>IF(OR(A241="",C241=""),"",IF(WEEKDAY(A241,2)&gt;=6,UcretHaftaSonu,IF(OR(C241&gt;=AksamBas,C241&lt;TIME(6,0,0)),UcretAksam,UcretGunduz)))</f>
        <v/>
      </c>
      <c r="I241" s="19" t="n"/>
      <c r="J241" s="17" t="n"/>
      <c r="K241" s="19">
        <f>IF(H241="","",IF(J241="Evet",0,H241-N(I241)))</f>
        <v/>
      </c>
      <c r="L241" s="17" t="n"/>
      <c r="M241" s="17" t="n"/>
      <c r="N241">
        <f>IF(OR(A241="",C241="",D241="",L241="İptal"),"",IFERROR(INT(A241)*100000+ROUND(C241*1440,0)*10+MATCH(D241,Sahalar,0),""))</f>
        <v/>
      </c>
    </row>
    <row r="242">
      <c r="A242" s="16" t="n"/>
      <c r="B242" s="17">
        <f>IF(A242="","",CHOOSE(WEEKDAY(A242,2),"Pzt","Sal","Çar","Per","Cum","Cmt","Paz"))</f>
        <v/>
      </c>
      <c r="C242" s="18" t="n"/>
      <c r="D242" s="17" t="n"/>
      <c r="E242" s="17" t="n"/>
      <c r="F242" s="17" t="n"/>
      <c r="G242" s="17" t="n"/>
      <c r="H242" s="19">
        <f>IF(OR(A242="",C242=""),"",IF(WEEKDAY(A242,2)&gt;=6,UcretHaftaSonu,IF(OR(C242&gt;=AksamBas,C242&lt;TIME(6,0,0)),UcretAksam,UcretGunduz)))</f>
        <v/>
      </c>
      <c r="I242" s="19" t="n"/>
      <c r="J242" s="17" t="n"/>
      <c r="K242" s="19">
        <f>IF(H242="","",IF(J242="Evet",0,H242-N(I242)))</f>
        <v/>
      </c>
      <c r="L242" s="17" t="n"/>
      <c r="M242" s="17" t="n"/>
      <c r="N242">
        <f>IF(OR(A242="",C242="",D242="",L242="İptal"),"",IFERROR(INT(A242)*100000+ROUND(C242*1440,0)*10+MATCH(D242,Sahalar,0),""))</f>
        <v/>
      </c>
    </row>
    <row r="243">
      <c r="A243" s="16" t="n"/>
      <c r="B243" s="17">
        <f>IF(A243="","",CHOOSE(WEEKDAY(A243,2),"Pzt","Sal","Çar","Per","Cum","Cmt","Paz"))</f>
        <v/>
      </c>
      <c r="C243" s="18" t="n"/>
      <c r="D243" s="17" t="n"/>
      <c r="E243" s="17" t="n"/>
      <c r="F243" s="17" t="n"/>
      <c r="G243" s="17" t="n"/>
      <c r="H243" s="19">
        <f>IF(OR(A243="",C243=""),"",IF(WEEKDAY(A243,2)&gt;=6,UcretHaftaSonu,IF(OR(C243&gt;=AksamBas,C243&lt;TIME(6,0,0)),UcretAksam,UcretGunduz)))</f>
        <v/>
      </c>
      <c r="I243" s="19" t="n"/>
      <c r="J243" s="17" t="n"/>
      <c r="K243" s="19">
        <f>IF(H243="","",IF(J243="Evet",0,H243-N(I243)))</f>
        <v/>
      </c>
      <c r="L243" s="17" t="n"/>
      <c r="M243" s="17" t="n"/>
      <c r="N243">
        <f>IF(OR(A243="",C243="",D243="",L243="İptal"),"",IFERROR(INT(A243)*100000+ROUND(C243*1440,0)*10+MATCH(D243,Sahalar,0),""))</f>
        <v/>
      </c>
    </row>
    <row r="244">
      <c r="A244" s="16" t="n"/>
      <c r="B244" s="17">
        <f>IF(A244="","",CHOOSE(WEEKDAY(A244,2),"Pzt","Sal","Çar","Per","Cum","Cmt","Paz"))</f>
        <v/>
      </c>
      <c r="C244" s="18" t="n"/>
      <c r="D244" s="17" t="n"/>
      <c r="E244" s="17" t="n"/>
      <c r="F244" s="17" t="n"/>
      <c r="G244" s="17" t="n"/>
      <c r="H244" s="19">
        <f>IF(OR(A244="",C244=""),"",IF(WEEKDAY(A244,2)&gt;=6,UcretHaftaSonu,IF(OR(C244&gt;=AksamBas,C244&lt;TIME(6,0,0)),UcretAksam,UcretGunduz)))</f>
        <v/>
      </c>
      <c r="I244" s="19" t="n"/>
      <c r="J244" s="17" t="n"/>
      <c r="K244" s="19">
        <f>IF(H244="","",IF(J244="Evet",0,H244-N(I244)))</f>
        <v/>
      </c>
      <c r="L244" s="17" t="n"/>
      <c r="M244" s="17" t="n"/>
      <c r="N244">
        <f>IF(OR(A244="",C244="",D244="",L244="İptal"),"",IFERROR(INT(A244)*100000+ROUND(C244*1440,0)*10+MATCH(D244,Sahalar,0),""))</f>
        <v/>
      </c>
    </row>
    <row r="245">
      <c r="A245" s="16" t="n"/>
      <c r="B245" s="17">
        <f>IF(A245="","",CHOOSE(WEEKDAY(A245,2),"Pzt","Sal","Çar","Per","Cum","Cmt","Paz"))</f>
        <v/>
      </c>
      <c r="C245" s="18" t="n"/>
      <c r="D245" s="17" t="n"/>
      <c r="E245" s="17" t="n"/>
      <c r="F245" s="17" t="n"/>
      <c r="G245" s="17" t="n"/>
      <c r="H245" s="19">
        <f>IF(OR(A245="",C245=""),"",IF(WEEKDAY(A245,2)&gt;=6,UcretHaftaSonu,IF(OR(C245&gt;=AksamBas,C245&lt;TIME(6,0,0)),UcretAksam,UcretGunduz)))</f>
        <v/>
      </c>
      <c r="I245" s="19" t="n"/>
      <c r="J245" s="17" t="n"/>
      <c r="K245" s="19">
        <f>IF(H245="","",IF(J245="Evet",0,H245-N(I245)))</f>
        <v/>
      </c>
      <c r="L245" s="17" t="n"/>
      <c r="M245" s="17" t="n"/>
      <c r="N245">
        <f>IF(OR(A245="",C245="",D245="",L245="İptal"),"",IFERROR(INT(A245)*100000+ROUND(C245*1440,0)*10+MATCH(D245,Sahalar,0),""))</f>
        <v/>
      </c>
    </row>
    <row r="246">
      <c r="A246" s="16" t="n"/>
      <c r="B246" s="17">
        <f>IF(A246="","",CHOOSE(WEEKDAY(A246,2),"Pzt","Sal","Çar","Per","Cum","Cmt","Paz"))</f>
        <v/>
      </c>
      <c r="C246" s="18" t="n"/>
      <c r="D246" s="17" t="n"/>
      <c r="E246" s="17" t="n"/>
      <c r="F246" s="17" t="n"/>
      <c r="G246" s="17" t="n"/>
      <c r="H246" s="19">
        <f>IF(OR(A246="",C246=""),"",IF(WEEKDAY(A246,2)&gt;=6,UcretHaftaSonu,IF(OR(C246&gt;=AksamBas,C246&lt;TIME(6,0,0)),UcretAksam,UcretGunduz)))</f>
        <v/>
      </c>
      <c r="I246" s="19" t="n"/>
      <c r="J246" s="17" t="n"/>
      <c r="K246" s="19">
        <f>IF(H246="","",IF(J246="Evet",0,H246-N(I246)))</f>
        <v/>
      </c>
      <c r="L246" s="17" t="n"/>
      <c r="M246" s="17" t="n"/>
      <c r="N246">
        <f>IF(OR(A246="",C246="",D246="",L246="İptal"),"",IFERROR(INT(A246)*100000+ROUND(C246*1440,0)*10+MATCH(D246,Sahalar,0),""))</f>
        <v/>
      </c>
    </row>
    <row r="247">
      <c r="A247" s="16" t="n"/>
      <c r="B247" s="17">
        <f>IF(A247="","",CHOOSE(WEEKDAY(A247,2),"Pzt","Sal","Çar","Per","Cum","Cmt","Paz"))</f>
        <v/>
      </c>
      <c r="C247" s="18" t="n"/>
      <c r="D247" s="17" t="n"/>
      <c r="E247" s="17" t="n"/>
      <c r="F247" s="17" t="n"/>
      <c r="G247" s="17" t="n"/>
      <c r="H247" s="19">
        <f>IF(OR(A247="",C247=""),"",IF(WEEKDAY(A247,2)&gt;=6,UcretHaftaSonu,IF(OR(C247&gt;=AksamBas,C247&lt;TIME(6,0,0)),UcretAksam,UcretGunduz)))</f>
        <v/>
      </c>
      <c r="I247" s="19" t="n"/>
      <c r="J247" s="17" t="n"/>
      <c r="K247" s="19">
        <f>IF(H247="","",IF(J247="Evet",0,H247-N(I247)))</f>
        <v/>
      </c>
      <c r="L247" s="17" t="n"/>
      <c r="M247" s="17" t="n"/>
      <c r="N247">
        <f>IF(OR(A247="",C247="",D247="",L247="İptal"),"",IFERROR(INT(A247)*100000+ROUND(C247*1440,0)*10+MATCH(D247,Sahalar,0),""))</f>
        <v/>
      </c>
    </row>
    <row r="248">
      <c r="A248" s="16" t="n"/>
      <c r="B248" s="17">
        <f>IF(A248="","",CHOOSE(WEEKDAY(A248,2),"Pzt","Sal","Çar","Per","Cum","Cmt","Paz"))</f>
        <v/>
      </c>
      <c r="C248" s="18" t="n"/>
      <c r="D248" s="17" t="n"/>
      <c r="E248" s="17" t="n"/>
      <c r="F248" s="17" t="n"/>
      <c r="G248" s="17" t="n"/>
      <c r="H248" s="19">
        <f>IF(OR(A248="",C248=""),"",IF(WEEKDAY(A248,2)&gt;=6,UcretHaftaSonu,IF(OR(C248&gt;=AksamBas,C248&lt;TIME(6,0,0)),UcretAksam,UcretGunduz)))</f>
        <v/>
      </c>
      <c r="I248" s="19" t="n"/>
      <c r="J248" s="17" t="n"/>
      <c r="K248" s="19">
        <f>IF(H248="","",IF(J248="Evet",0,H248-N(I248)))</f>
        <v/>
      </c>
      <c r="L248" s="17" t="n"/>
      <c r="M248" s="17" t="n"/>
      <c r="N248">
        <f>IF(OR(A248="",C248="",D248="",L248="İptal"),"",IFERROR(INT(A248)*100000+ROUND(C248*1440,0)*10+MATCH(D248,Sahalar,0),""))</f>
        <v/>
      </c>
    </row>
    <row r="249">
      <c r="A249" s="16" t="n"/>
      <c r="B249" s="17">
        <f>IF(A249="","",CHOOSE(WEEKDAY(A249,2),"Pzt","Sal","Çar","Per","Cum","Cmt","Paz"))</f>
        <v/>
      </c>
      <c r="C249" s="18" t="n"/>
      <c r="D249" s="17" t="n"/>
      <c r="E249" s="17" t="n"/>
      <c r="F249" s="17" t="n"/>
      <c r="G249" s="17" t="n"/>
      <c r="H249" s="19">
        <f>IF(OR(A249="",C249=""),"",IF(WEEKDAY(A249,2)&gt;=6,UcretHaftaSonu,IF(OR(C249&gt;=AksamBas,C249&lt;TIME(6,0,0)),UcretAksam,UcretGunduz)))</f>
        <v/>
      </c>
      <c r="I249" s="19" t="n"/>
      <c r="J249" s="17" t="n"/>
      <c r="K249" s="19">
        <f>IF(H249="","",IF(J249="Evet",0,H249-N(I249)))</f>
        <v/>
      </c>
      <c r="L249" s="17" t="n"/>
      <c r="M249" s="17" t="n"/>
      <c r="N249">
        <f>IF(OR(A249="",C249="",D249="",L249="İptal"),"",IFERROR(INT(A249)*100000+ROUND(C249*1440,0)*10+MATCH(D249,Sahalar,0),""))</f>
        <v/>
      </c>
    </row>
    <row r="250">
      <c r="A250" s="16" t="n"/>
      <c r="B250" s="17">
        <f>IF(A250="","",CHOOSE(WEEKDAY(A250,2),"Pzt","Sal","Çar","Per","Cum","Cmt","Paz"))</f>
        <v/>
      </c>
      <c r="C250" s="18" t="n"/>
      <c r="D250" s="17" t="n"/>
      <c r="E250" s="17" t="n"/>
      <c r="F250" s="17" t="n"/>
      <c r="G250" s="17" t="n"/>
      <c r="H250" s="19">
        <f>IF(OR(A250="",C250=""),"",IF(WEEKDAY(A250,2)&gt;=6,UcretHaftaSonu,IF(OR(C250&gt;=AksamBas,C250&lt;TIME(6,0,0)),UcretAksam,UcretGunduz)))</f>
        <v/>
      </c>
      <c r="I250" s="19" t="n"/>
      <c r="J250" s="17" t="n"/>
      <c r="K250" s="19">
        <f>IF(H250="","",IF(J250="Evet",0,H250-N(I250)))</f>
        <v/>
      </c>
      <c r="L250" s="17" t="n"/>
      <c r="M250" s="17" t="n"/>
      <c r="N250">
        <f>IF(OR(A250="",C250="",D250="",L250="İptal"),"",IFERROR(INT(A250)*100000+ROUND(C250*1440,0)*10+MATCH(D250,Sahalar,0),""))</f>
        <v/>
      </c>
    </row>
    <row r="251">
      <c r="A251" s="16" t="n"/>
      <c r="B251" s="17">
        <f>IF(A251="","",CHOOSE(WEEKDAY(A251,2),"Pzt","Sal","Çar","Per","Cum","Cmt","Paz"))</f>
        <v/>
      </c>
      <c r="C251" s="18" t="n"/>
      <c r="D251" s="17" t="n"/>
      <c r="E251" s="17" t="n"/>
      <c r="F251" s="17" t="n"/>
      <c r="G251" s="17" t="n"/>
      <c r="H251" s="19">
        <f>IF(OR(A251="",C251=""),"",IF(WEEKDAY(A251,2)&gt;=6,UcretHaftaSonu,IF(OR(C251&gt;=AksamBas,C251&lt;TIME(6,0,0)),UcretAksam,UcretGunduz)))</f>
        <v/>
      </c>
      <c r="I251" s="19" t="n"/>
      <c r="J251" s="17" t="n"/>
      <c r="K251" s="19">
        <f>IF(H251="","",IF(J251="Evet",0,H251-N(I251)))</f>
        <v/>
      </c>
      <c r="L251" s="17" t="n"/>
      <c r="M251" s="17" t="n"/>
      <c r="N251">
        <f>IF(OR(A251="",C251="",D251="",L251="İptal"),"",IFERROR(INT(A251)*100000+ROUND(C251*1440,0)*10+MATCH(D251,Sahalar,0),""))</f>
        <v/>
      </c>
    </row>
    <row r="252">
      <c r="A252" s="16" t="n"/>
      <c r="B252" s="17">
        <f>IF(A252="","",CHOOSE(WEEKDAY(A252,2),"Pzt","Sal","Çar","Per","Cum","Cmt","Paz"))</f>
        <v/>
      </c>
      <c r="C252" s="18" t="n"/>
      <c r="D252" s="17" t="n"/>
      <c r="E252" s="17" t="n"/>
      <c r="F252" s="17" t="n"/>
      <c r="G252" s="17" t="n"/>
      <c r="H252" s="19">
        <f>IF(OR(A252="",C252=""),"",IF(WEEKDAY(A252,2)&gt;=6,UcretHaftaSonu,IF(OR(C252&gt;=AksamBas,C252&lt;TIME(6,0,0)),UcretAksam,UcretGunduz)))</f>
        <v/>
      </c>
      <c r="I252" s="19" t="n"/>
      <c r="J252" s="17" t="n"/>
      <c r="K252" s="19">
        <f>IF(H252="","",IF(J252="Evet",0,H252-N(I252)))</f>
        <v/>
      </c>
      <c r="L252" s="17" t="n"/>
      <c r="M252" s="17" t="n"/>
      <c r="N252">
        <f>IF(OR(A252="",C252="",D252="",L252="İptal"),"",IFERROR(INT(A252)*100000+ROUND(C252*1440,0)*10+MATCH(D252,Sahalar,0),""))</f>
        <v/>
      </c>
    </row>
    <row r="253">
      <c r="A253" s="16" t="n"/>
      <c r="B253" s="17">
        <f>IF(A253="","",CHOOSE(WEEKDAY(A253,2),"Pzt","Sal","Çar","Per","Cum","Cmt","Paz"))</f>
        <v/>
      </c>
      <c r="C253" s="18" t="n"/>
      <c r="D253" s="17" t="n"/>
      <c r="E253" s="17" t="n"/>
      <c r="F253" s="17" t="n"/>
      <c r="G253" s="17" t="n"/>
      <c r="H253" s="19">
        <f>IF(OR(A253="",C253=""),"",IF(WEEKDAY(A253,2)&gt;=6,UcretHaftaSonu,IF(OR(C253&gt;=AksamBas,C253&lt;TIME(6,0,0)),UcretAksam,UcretGunduz)))</f>
        <v/>
      </c>
      <c r="I253" s="19" t="n"/>
      <c r="J253" s="17" t="n"/>
      <c r="K253" s="19">
        <f>IF(H253="","",IF(J253="Evet",0,H253-N(I253)))</f>
        <v/>
      </c>
      <c r="L253" s="17" t="n"/>
      <c r="M253" s="17" t="n"/>
      <c r="N253">
        <f>IF(OR(A253="",C253="",D253="",L253="İptal"),"",IFERROR(INT(A253)*100000+ROUND(C253*1440,0)*10+MATCH(D253,Sahalar,0),""))</f>
        <v/>
      </c>
    </row>
    <row r="254">
      <c r="A254" s="16" t="n"/>
      <c r="B254" s="17">
        <f>IF(A254="","",CHOOSE(WEEKDAY(A254,2),"Pzt","Sal","Çar","Per","Cum","Cmt","Paz"))</f>
        <v/>
      </c>
      <c r="C254" s="18" t="n"/>
      <c r="D254" s="17" t="n"/>
      <c r="E254" s="17" t="n"/>
      <c r="F254" s="17" t="n"/>
      <c r="G254" s="17" t="n"/>
      <c r="H254" s="19">
        <f>IF(OR(A254="",C254=""),"",IF(WEEKDAY(A254,2)&gt;=6,UcretHaftaSonu,IF(OR(C254&gt;=AksamBas,C254&lt;TIME(6,0,0)),UcretAksam,UcretGunduz)))</f>
        <v/>
      </c>
      <c r="I254" s="19" t="n"/>
      <c r="J254" s="17" t="n"/>
      <c r="K254" s="19">
        <f>IF(H254="","",IF(J254="Evet",0,H254-N(I254)))</f>
        <v/>
      </c>
      <c r="L254" s="17" t="n"/>
      <c r="M254" s="17" t="n"/>
      <c r="N254">
        <f>IF(OR(A254="",C254="",D254="",L254="İptal"),"",IFERROR(INT(A254)*100000+ROUND(C254*1440,0)*10+MATCH(D254,Sahalar,0),""))</f>
        <v/>
      </c>
    </row>
    <row r="255">
      <c r="A255" s="16" t="n"/>
      <c r="B255" s="17">
        <f>IF(A255="","",CHOOSE(WEEKDAY(A255,2),"Pzt","Sal","Çar","Per","Cum","Cmt","Paz"))</f>
        <v/>
      </c>
      <c r="C255" s="18" t="n"/>
      <c r="D255" s="17" t="n"/>
      <c r="E255" s="17" t="n"/>
      <c r="F255" s="17" t="n"/>
      <c r="G255" s="17" t="n"/>
      <c r="H255" s="19">
        <f>IF(OR(A255="",C255=""),"",IF(WEEKDAY(A255,2)&gt;=6,UcretHaftaSonu,IF(OR(C255&gt;=AksamBas,C255&lt;TIME(6,0,0)),UcretAksam,UcretGunduz)))</f>
        <v/>
      </c>
      <c r="I255" s="19" t="n"/>
      <c r="J255" s="17" t="n"/>
      <c r="K255" s="19">
        <f>IF(H255="","",IF(J255="Evet",0,H255-N(I255)))</f>
        <v/>
      </c>
      <c r="L255" s="17" t="n"/>
      <c r="M255" s="17" t="n"/>
      <c r="N255">
        <f>IF(OR(A255="",C255="",D255="",L255="İptal"),"",IFERROR(INT(A255)*100000+ROUND(C255*1440,0)*10+MATCH(D255,Sahalar,0),""))</f>
        <v/>
      </c>
    </row>
    <row r="256">
      <c r="A256" s="16" t="n"/>
      <c r="B256" s="17">
        <f>IF(A256="","",CHOOSE(WEEKDAY(A256,2),"Pzt","Sal","Çar","Per","Cum","Cmt","Paz"))</f>
        <v/>
      </c>
      <c r="C256" s="18" t="n"/>
      <c r="D256" s="17" t="n"/>
      <c r="E256" s="17" t="n"/>
      <c r="F256" s="17" t="n"/>
      <c r="G256" s="17" t="n"/>
      <c r="H256" s="19">
        <f>IF(OR(A256="",C256=""),"",IF(WEEKDAY(A256,2)&gt;=6,UcretHaftaSonu,IF(OR(C256&gt;=AksamBas,C256&lt;TIME(6,0,0)),UcretAksam,UcretGunduz)))</f>
        <v/>
      </c>
      <c r="I256" s="19" t="n"/>
      <c r="J256" s="17" t="n"/>
      <c r="K256" s="19">
        <f>IF(H256="","",IF(J256="Evet",0,H256-N(I256)))</f>
        <v/>
      </c>
      <c r="L256" s="17" t="n"/>
      <c r="M256" s="17" t="n"/>
      <c r="N256">
        <f>IF(OR(A256="",C256="",D256="",L256="İptal"),"",IFERROR(INT(A256)*100000+ROUND(C256*1440,0)*10+MATCH(D256,Sahalar,0),""))</f>
        <v/>
      </c>
    </row>
    <row r="257">
      <c r="A257" s="16" t="n"/>
      <c r="B257" s="17">
        <f>IF(A257="","",CHOOSE(WEEKDAY(A257,2),"Pzt","Sal","Çar","Per","Cum","Cmt","Paz"))</f>
        <v/>
      </c>
      <c r="C257" s="18" t="n"/>
      <c r="D257" s="17" t="n"/>
      <c r="E257" s="17" t="n"/>
      <c r="F257" s="17" t="n"/>
      <c r="G257" s="17" t="n"/>
      <c r="H257" s="19">
        <f>IF(OR(A257="",C257=""),"",IF(WEEKDAY(A257,2)&gt;=6,UcretHaftaSonu,IF(OR(C257&gt;=AksamBas,C257&lt;TIME(6,0,0)),UcretAksam,UcretGunduz)))</f>
        <v/>
      </c>
      <c r="I257" s="19" t="n"/>
      <c r="J257" s="17" t="n"/>
      <c r="K257" s="19">
        <f>IF(H257="","",IF(J257="Evet",0,H257-N(I257)))</f>
        <v/>
      </c>
      <c r="L257" s="17" t="n"/>
      <c r="M257" s="17" t="n"/>
      <c r="N257">
        <f>IF(OR(A257="",C257="",D257="",L257="İptal"),"",IFERROR(INT(A257)*100000+ROUND(C257*1440,0)*10+MATCH(D257,Sahalar,0),""))</f>
        <v/>
      </c>
    </row>
    <row r="258">
      <c r="A258" s="16" t="n"/>
      <c r="B258" s="17">
        <f>IF(A258="","",CHOOSE(WEEKDAY(A258,2),"Pzt","Sal","Çar","Per","Cum","Cmt","Paz"))</f>
        <v/>
      </c>
      <c r="C258" s="18" t="n"/>
      <c r="D258" s="17" t="n"/>
      <c r="E258" s="17" t="n"/>
      <c r="F258" s="17" t="n"/>
      <c r="G258" s="17" t="n"/>
      <c r="H258" s="19">
        <f>IF(OR(A258="",C258=""),"",IF(WEEKDAY(A258,2)&gt;=6,UcretHaftaSonu,IF(OR(C258&gt;=AksamBas,C258&lt;TIME(6,0,0)),UcretAksam,UcretGunduz)))</f>
        <v/>
      </c>
      <c r="I258" s="19" t="n"/>
      <c r="J258" s="17" t="n"/>
      <c r="K258" s="19">
        <f>IF(H258="","",IF(J258="Evet",0,H258-N(I258)))</f>
        <v/>
      </c>
      <c r="L258" s="17" t="n"/>
      <c r="M258" s="17" t="n"/>
      <c r="N258">
        <f>IF(OR(A258="",C258="",D258="",L258="İptal"),"",IFERROR(INT(A258)*100000+ROUND(C258*1440,0)*10+MATCH(D258,Sahalar,0),""))</f>
        <v/>
      </c>
    </row>
    <row r="259">
      <c r="A259" s="16" t="n"/>
      <c r="B259" s="17">
        <f>IF(A259="","",CHOOSE(WEEKDAY(A259,2),"Pzt","Sal","Çar","Per","Cum","Cmt","Paz"))</f>
        <v/>
      </c>
      <c r="C259" s="18" t="n"/>
      <c r="D259" s="17" t="n"/>
      <c r="E259" s="17" t="n"/>
      <c r="F259" s="17" t="n"/>
      <c r="G259" s="17" t="n"/>
      <c r="H259" s="19">
        <f>IF(OR(A259="",C259=""),"",IF(WEEKDAY(A259,2)&gt;=6,UcretHaftaSonu,IF(OR(C259&gt;=AksamBas,C259&lt;TIME(6,0,0)),UcretAksam,UcretGunduz)))</f>
        <v/>
      </c>
      <c r="I259" s="19" t="n"/>
      <c r="J259" s="17" t="n"/>
      <c r="K259" s="19">
        <f>IF(H259="","",IF(J259="Evet",0,H259-N(I259)))</f>
        <v/>
      </c>
      <c r="L259" s="17" t="n"/>
      <c r="M259" s="17" t="n"/>
      <c r="N259">
        <f>IF(OR(A259="",C259="",D259="",L259="İptal"),"",IFERROR(INT(A259)*100000+ROUND(C259*1440,0)*10+MATCH(D259,Sahalar,0),""))</f>
        <v/>
      </c>
    </row>
    <row r="260">
      <c r="A260" s="16" t="n"/>
      <c r="B260" s="17">
        <f>IF(A260="","",CHOOSE(WEEKDAY(A260,2),"Pzt","Sal","Çar","Per","Cum","Cmt","Paz"))</f>
        <v/>
      </c>
      <c r="C260" s="18" t="n"/>
      <c r="D260" s="17" t="n"/>
      <c r="E260" s="17" t="n"/>
      <c r="F260" s="17" t="n"/>
      <c r="G260" s="17" t="n"/>
      <c r="H260" s="19">
        <f>IF(OR(A260="",C260=""),"",IF(WEEKDAY(A260,2)&gt;=6,UcretHaftaSonu,IF(OR(C260&gt;=AksamBas,C260&lt;TIME(6,0,0)),UcretAksam,UcretGunduz)))</f>
        <v/>
      </c>
      <c r="I260" s="19" t="n"/>
      <c r="J260" s="17" t="n"/>
      <c r="K260" s="19">
        <f>IF(H260="","",IF(J260="Evet",0,H260-N(I260)))</f>
        <v/>
      </c>
      <c r="L260" s="17" t="n"/>
      <c r="M260" s="17" t="n"/>
      <c r="N260">
        <f>IF(OR(A260="",C260="",D260="",L260="İptal"),"",IFERROR(INT(A260)*100000+ROUND(C260*1440,0)*10+MATCH(D260,Sahalar,0),""))</f>
        <v/>
      </c>
    </row>
    <row r="261">
      <c r="A261" s="16" t="n"/>
      <c r="B261" s="17">
        <f>IF(A261="","",CHOOSE(WEEKDAY(A261,2),"Pzt","Sal","Çar","Per","Cum","Cmt","Paz"))</f>
        <v/>
      </c>
      <c r="C261" s="18" t="n"/>
      <c r="D261" s="17" t="n"/>
      <c r="E261" s="17" t="n"/>
      <c r="F261" s="17" t="n"/>
      <c r="G261" s="17" t="n"/>
      <c r="H261" s="19">
        <f>IF(OR(A261="",C261=""),"",IF(WEEKDAY(A261,2)&gt;=6,UcretHaftaSonu,IF(OR(C261&gt;=AksamBas,C261&lt;TIME(6,0,0)),UcretAksam,UcretGunduz)))</f>
        <v/>
      </c>
      <c r="I261" s="19" t="n"/>
      <c r="J261" s="17" t="n"/>
      <c r="K261" s="19">
        <f>IF(H261="","",IF(J261="Evet",0,H261-N(I261)))</f>
        <v/>
      </c>
      <c r="L261" s="17" t="n"/>
      <c r="M261" s="17" t="n"/>
      <c r="N261">
        <f>IF(OR(A261="",C261="",D261="",L261="İptal"),"",IFERROR(INT(A261)*100000+ROUND(C261*1440,0)*10+MATCH(D261,Sahalar,0),""))</f>
        <v/>
      </c>
    </row>
    <row r="262">
      <c r="A262" s="16" t="n"/>
      <c r="B262" s="17">
        <f>IF(A262="","",CHOOSE(WEEKDAY(A262,2),"Pzt","Sal","Çar","Per","Cum","Cmt","Paz"))</f>
        <v/>
      </c>
      <c r="C262" s="18" t="n"/>
      <c r="D262" s="17" t="n"/>
      <c r="E262" s="17" t="n"/>
      <c r="F262" s="17" t="n"/>
      <c r="G262" s="17" t="n"/>
      <c r="H262" s="19">
        <f>IF(OR(A262="",C262=""),"",IF(WEEKDAY(A262,2)&gt;=6,UcretHaftaSonu,IF(OR(C262&gt;=AksamBas,C262&lt;TIME(6,0,0)),UcretAksam,UcretGunduz)))</f>
        <v/>
      </c>
      <c r="I262" s="19" t="n"/>
      <c r="J262" s="17" t="n"/>
      <c r="K262" s="19">
        <f>IF(H262="","",IF(J262="Evet",0,H262-N(I262)))</f>
        <v/>
      </c>
      <c r="L262" s="17" t="n"/>
      <c r="M262" s="17" t="n"/>
      <c r="N262">
        <f>IF(OR(A262="",C262="",D262="",L262="İptal"),"",IFERROR(INT(A262)*100000+ROUND(C262*1440,0)*10+MATCH(D262,Sahalar,0),""))</f>
        <v/>
      </c>
    </row>
    <row r="263">
      <c r="A263" s="16" t="n"/>
      <c r="B263" s="17">
        <f>IF(A263="","",CHOOSE(WEEKDAY(A263,2),"Pzt","Sal","Çar","Per","Cum","Cmt","Paz"))</f>
        <v/>
      </c>
      <c r="C263" s="18" t="n"/>
      <c r="D263" s="17" t="n"/>
      <c r="E263" s="17" t="n"/>
      <c r="F263" s="17" t="n"/>
      <c r="G263" s="17" t="n"/>
      <c r="H263" s="19">
        <f>IF(OR(A263="",C263=""),"",IF(WEEKDAY(A263,2)&gt;=6,UcretHaftaSonu,IF(OR(C263&gt;=AksamBas,C263&lt;TIME(6,0,0)),UcretAksam,UcretGunduz)))</f>
        <v/>
      </c>
      <c r="I263" s="19" t="n"/>
      <c r="J263" s="17" t="n"/>
      <c r="K263" s="19">
        <f>IF(H263="","",IF(J263="Evet",0,H263-N(I263)))</f>
        <v/>
      </c>
      <c r="L263" s="17" t="n"/>
      <c r="M263" s="17" t="n"/>
      <c r="N263">
        <f>IF(OR(A263="",C263="",D263="",L263="İptal"),"",IFERROR(INT(A263)*100000+ROUND(C263*1440,0)*10+MATCH(D263,Sahalar,0),""))</f>
        <v/>
      </c>
    </row>
    <row r="264">
      <c r="A264" s="16" t="n"/>
      <c r="B264" s="17">
        <f>IF(A264="","",CHOOSE(WEEKDAY(A264,2),"Pzt","Sal","Çar","Per","Cum","Cmt","Paz"))</f>
        <v/>
      </c>
      <c r="C264" s="18" t="n"/>
      <c r="D264" s="17" t="n"/>
      <c r="E264" s="17" t="n"/>
      <c r="F264" s="17" t="n"/>
      <c r="G264" s="17" t="n"/>
      <c r="H264" s="19">
        <f>IF(OR(A264="",C264=""),"",IF(WEEKDAY(A264,2)&gt;=6,UcretHaftaSonu,IF(OR(C264&gt;=AksamBas,C264&lt;TIME(6,0,0)),UcretAksam,UcretGunduz)))</f>
        <v/>
      </c>
      <c r="I264" s="19" t="n"/>
      <c r="J264" s="17" t="n"/>
      <c r="K264" s="19">
        <f>IF(H264="","",IF(J264="Evet",0,H264-N(I264)))</f>
        <v/>
      </c>
      <c r="L264" s="17" t="n"/>
      <c r="M264" s="17" t="n"/>
      <c r="N264">
        <f>IF(OR(A264="",C264="",D264="",L264="İptal"),"",IFERROR(INT(A264)*100000+ROUND(C264*1440,0)*10+MATCH(D264,Sahalar,0),""))</f>
        <v/>
      </c>
    </row>
    <row r="265">
      <c r="A265" s="16" t="n"/>
      <c r="B265" s="17">
        <f>IF(A265="","",CHOOSE(WEEKDAY(A265,2),"Pzt","Sal","Çar","Per","Cum","Cmt","Paz"))</f>
        <v/>
      </c>
      <c r="C265" s="18" t="n"/>
      <c r="D265" s="17" t="n"/>
      <c r="E265" s="17" t="n"/>
      <c r="F265" s="17" t="n"/>
      <c r="G265" s="17" t="n"/>
      <c r="H265" s="19">
        <f>IF(OR(A265="",C265=""),"",IF(WEEKDAY(A265,2)&gt;=6,UcretHaftaSonu,IF(OR(C265&gt;=AksamBas,C265&lt;TIME(6,0,0)),UcretAksam,UcretGunduz)))</f>
        <v/>
      </c>
      <c r="I265" s="19" t="n"/>
      <c r="J265" s="17" t="n"/>
      <c r="K265" s="19">
        <f>IF(H265="","",IF(J265="Evet",0,H265-N(I265)))</f>
        <v/>
      </c>
      <c r="L265" s="17" t="n"/>
      <c r="M265" s="17" t="n"/>
      <c r="N265">
        <f>IF(OR(A265="",C265="",D265="",L265="İptal"),"",IFERROR(INT(A265)*100000+ROUND(C265*1440,0)*10+MATCH(D265,Sahalar,0),""))</f>
        <v/>
      </c>
    </row>
    <row r="266">
      <c r="A266" s="16" t="n"/>
      <c r="B266" s="17">
        <f>IF(A266="","",CHOOSE(WEEKDAY(A266,2),"Pzt","Sal","Çar","Per","Cum","Cmt","Paz"))</f>
        <v/>
      </c>
      <c r="C266" s="18" t="n"/>
      <c r="D266" s="17" t="n"/>
      <c r="E266" s="17" t="n"/>
      <c r="F266" s="17" t="n"/>
      <c r="G266" s="17" t="n"/>
      <c r="H266" s="19">
        <f>IF(OR(A266="",C266=""),"",IF(WEEKDAY(A266,2)&gt;=6,UcretHaftaSonu,IF(OR(C266&gt;=AksamBas,C266&lt;TIME(6,0,0)),UcretAksam,UcretGunduz)))</f>
        <v/>
      </c>
      <c r="I266" s="19" t="n"/>
      <c r="J266" s="17" t="n"/>
      <c r="K266" s="19">
        <f>IF(H266="","",IF(J266="Evet",0,H266-N(I266)))</f>
        <v/>
      </c>
      <c r="L266" s="17" t="n"/>
      <c r="M266" s="17" t="n"/>
      <c r="N266">
        <f>IF(OR(A266="",C266="",D266="",L266="İptal"),"",IFERROR(INT(A266)*100000+ROUND(C266*1440,0)*10+MATCH(D266,Sahalar,0),""))</f>
        <v/>
      </c>
    </row>
    <row r="267">
      <c r="A267" s="16" t="n"/>
      <c r="B267" s="17">
        <f>IF(A267="","",CHOOSE(WEEKDAY(A267,2),"Pzt","Sal","Çar","Per","Cum","Cmt","Paz"))</f>
        <v/>
      </c>
      <c r="C267" s="18" t="n"/>
      <c r="D267" s="17" t="n"/>
      <c r="E267" s="17" t="n"/>
      <c r="F267" s="17" t="n"/>
      <c r="G267" s="17" t="n"/>
      <c r="H267" s="19">
        <f>IF(OR(A267="",C267=""),"",IF(WEEKDAY(A267,2)&gt;=6,UcretHaftaSonu,IF(OR(C267&gt;=AksamBas,C267&lt;TIME(6,0,0)),UcretAksam,UcretGunduz)))</f>
        <v/>
      </c>
      <c r="I267" s="19" t="n"/>
      <c r="J267" s="17" t="n"/>
      <c r="K267" s="19">
        <f>IF(H267="","",IF(J267="Evet",0,H267-N(I267)))</f>
        <v/>
      </c>
      <c r="L267" s="17" t="n"/>
      <c r="M267" s="17" t="n"/>
      <c r="N267">
        <f>IF(OR(A267="",C267="",D267="",L267="İptal"),"",IFERROR(INT(A267)*100000+ROUND(C267*1440,0)*10+MATCH(D267,Sahalar,0),""))</f>
        <v/>
      </c>
    </row>
    <row r="268">
      <c r="A268" s="16" t="n"/>
      <c r="B268" s="17">
        <f>IF(A268="","",CHOOSE(WEEKDAY(A268,2),"Pzt","Sal","Çar","Per","Cum","Cmt","Paz"))</f>
        <v/>
      </c>
      <c r="C268" s="18" t="n"/>
      <c r="D268" s="17" t="n"/>
      <c r="E268" s="17" t="n"/>
      <c r="F268" s="17" t="n"/>
      <c r="G268" s="17" t="n"/>
      <c r="H268" s="19">
        <f>IF(OR(A268="",C268=""),"",IF(WEEKDAY(A268,2)&gt;=6,UcretHaftaSonu,IF(OR(C268&gt;=AksamBas,C268&lt;TIME(6,0,0)),UcretAksam,UcretGunduz)))</f>
        <v/>
      </c>
      <c r="I268" s="19" t="n"/>
      <c r="J268" s="17" t="n"/>
      <c r="K268" s="19">
        <f>IF(H268="","",IF(J268="Evet",0,H268-N(I268)))</f>
        <v/>
      </c>
      <c r="L268" s="17" t="n"/>
      <c r="M268" s="17" t="n"/>
      <c r="N268">
        <f>IF(OR(A268="",C268="",D268="",L268="İptal"),"",IFERROR(INT(A268)*100000+ROUND(C268*1440,0)*10+MATCH(D268,Sahalar,0),""))</f>
        <v/>
      </c>
    </row>
    <row r="269">
      <c r="A269" s="16" t="n"/>
      <c r="B269" s="17">
        <f>IF(A269="","",CHOOSE(WEEKDAY(A269,2),"Pzt","Sal","Çar","Per","Cum","Cmt","Paz"))</f>
        <v/>
      </c>
      <c r="C269" s="18" t="n"/>
      <c r="D269" s="17" t="n"/>
      <c r="E269" s="17" t="n"/>
      <c r="F269" s="17" t="n"/>
      <c r="G269" s="17" t="n"/>
      <c r="H269" s="19">
        <f>IF(OR(A269="",C269=""),"",IF(WEEKDAY(A269,2)&gt;=6,UcretHaftaSonu,IF(OR(C269&gt;=AksamBas,C269&lt;TIME(6,0,0)),UcretAksam,UcretGunduz)))</f>
        <v/>
      </c>
      <c r="I269" s="19" t="n"/>
      <c r="J269" s="17" t="n"/>
      <c r="K269" s="19">
        <f>IF(H269="","",IF(J269="Evet",0,H269-N(I269)))</f>
        <v/>
      </c>
      <c r="L269" s="17" t="n"/>
      <c r="M269" s="17" t="n"/>
      <c r="N269">
        <f>IF(OR(A269="",C269="",D269="",L269="İptal"),"",IFERROR(INT(A269)*100000+ROUND(C269*1440,0)*10+MATCH(D269,Sahalar,0),""))</f>
        <v/>
      </c>
    </row>
    <row r="270">
      <c r="A270" s="16" t="n"/>
      <c r="B270" s="17">
        <f>IF(A270="","",CHOOSE(WEEKDAY(A270,2),"Pzt","Sal","Çar","Per","Cum","Cmt","Paz"))</f>
        <v/>
      </c>
      <c r="C270" s="18" t="n"/>
      <c r="D270" s="17" t="n"/>
      <c r="E270" s="17" t="n"/>
      <c r="F270" s="17" t="n"/>
      <c r="G270" s="17" t="n"/>
      <c r="H270" s="19">
        <f>IF(OR(A270="",C270=""),"",IF(WEEKDAY(A270,2)&gt;=6,UcretHaftaSonu,IF(OR(C270&gt;=AksamBas,C270&lt;TIME(6,0,0)),UcretAksam,UcretGunduz)))</f>
        <v/>
      </c>
      <c r="I270" s="19" t="n"/>
      <c r="J270" s="17" t="n"/>
      <c r="K270" s="19">
        <f>IF(H270="","",IF(J270="Evet",0,H270-N(I270)))</f>
        <v/>
      </c>
      <c r="L270" s="17" t="n"/>
      <c r="M270" s="17" t="n"/>
      <c r="N270">
        <f>IF(OR(A270="",C270="",D270="",L270="İptal"),"",IFERROR(INT(A270)*100000+ROUND(C270*1440,0)*10+MATCH(D270,Sahalar,0),""))</f>
        <v/>
      </c>
    </row>
    <row r="271">
      <c r="A271" s="16" t="n"/>
      <c r="B271" s="17">
        <f>IF(A271="","",CHOOSE(WEEKDAY(A271,2),"Pzt","Sal","Çar","Per","Cum","Cmt","Paz"))</f>
        <v/>
      </c>
      <c r="C271" s="18" t="n"/>
      <c r="D271" s="17" t="n"/>
      <c r="E271" s="17" t="n"/>
      <c r="F271" s="17" t="n"/>
      <c r="G271" s="17" t="n"/>
      <c r="H271" s="19">
        <f>IF(OR(A271="",C271=""),"",IF(WEEKDAY(A271,2)&gt;=6,UcretHaftaSonu,IF(OR(C271&gt;=AksamBas,C271&lt;TIME(6,0,0)),UcretAksam,UcretGunduz)))</f>
        <v/>
      </c>
      <c r="I271" s="19" t="n"/>
      <c r="J271" s="17" t="n"/>
      <c r="K271" s="19">
        <f>IF(H271="","",IF(J271="Evet",0,H271-N(I271)))</f>
        <v/>
      </c>
      <c r="L271" s="17" t="n"/>
      <c r="M271" s="17" t="n"/>
      <c r="N271">
        <f>IF(OR(A271="",C271="",D271="",L271="İptal"),"",IFERROR(INT(A271)*100000+ROUND(C271*1440,0)*10+MATCH(D271,Sahalar,0),""))</f>
        <v/>
      </c>
    </row>
    <row r="272">
      <c r="A272" s="16" t="n"/>
      <c r="B272" s="17">
        <f>IF(A272="","",CHOOSE(WEEKDAY(A272,2),"Pzt","Sal","Çar","Per","Cum","Cmt","Paz"))</f>
        <v/>
      </c>
      <c r="C272" s="18" t="n"/>
      <c r="D272" s="17" t="n"/>
      <c r="E272" s="17" t="n"/>
      <c r="F272" s="17" t="n"/>
      <c r="G272" s="17" t="n"/>
      <c r="H272" s="19">
        <f>IF(OR(A272="",C272=""),"",IF(WEEKDAY(A272,2)&gt;=6,UcretHaftaSonu,IF(OR(C272&gt;=AksamBas,C272&lt;TIME(6,0,0)),UcretAksam,UcretGunduz)))</f>
        <v/>
      </c>
      <c r="I272" s="19" t="n"/>
      <c r="J272" s="17" t="n"/>
      <c r="K272" s="19">
        <f>IF(H272="","",IF(J272="Evet",0,H272-N(I272)))</f>
        <v/>
      </c>
      <c r="L272" s="17" t="n"/>
      <c r="M272" s="17" t="n"/>
      <c r="N272">
        <f>IF(OR(A272="",C272="",D272="",L272="İptal"),"",IFERROR(INT(A272)*100000+ROUND(C272*1440,0)*10+MATCH(D272,Sahalar,0),""))</f>
        <v/>
      </c>
    </row>
    <row r="273">
      <c r="A273" s="16" t="n"/>
      <c r="B273" s="17">
        <f>IF(A273="","",CHOOSE(WEEKDAY(A273,2),"Pzt","Sal","Çar","Per","Cum","Cmt","Paz"))</f>
        <v/>
      </c>
      <c r="C273" s="18" t="n"/>
      <c r="D273" s="17" t="n"/>
      <c r="E273" s="17" t="n"/>
      <c r="F273" s="17" t="n"/>
      <c r="G273" s="17" t="n"/>
      <c r="H273" s="19">
        <f>IF(OR(A273="",C273=""),"",IF(WEEKDAY(A273,2)&gt;=6,UcretHaftaSonu,IF(OR(C273&gt;=AksamBas,C273&lt;TIME(6,0,0)),UcretAksam,UcretGunduz)))</f>
        <v/>
      </c>
      <c r="I273" s="19" t="n"/>
      <c r="J273" s="17" t="n"/>
      <c r="K273" s="19">
        <f>IF(H273="","",IF(J273="Evet",0,H273-N(I273)))</f>
        <v/>
      </c>
      <c r="L273" s="17" t="n"/>
      <c r="M273" s="17" t="n"/>
      <c r="N273">
        <f>IF(OR(A273="",C273="",D273="",L273="İptal"),"",IFERROR(INT(A273)*100000+ROUND(C273*1440,0)*10+MATCH(D273,Sahalar,0),""))</f>
        <v/>
      </c>
    </row>
    <row r="274">
      <c r="A274" s="16" t="n"/>
      <c r="B274" s="17">
        <f>IF(A274="","",CHOOSE(WEEKDAY(A274,2),"Pzt","Sal","Çar","Per","Cum","Cmt","Paz"))</f>
        <v/>
      </c>
      <c r="C274" s="18" t="n"/>
      <c r="D274" s="17" t="n"/>
      <c r="E274" s="17" t="n"/>
      <c r="F274" s="17" t="n"/>
      <c r="G274" s="17" t="n"/>
      <c r="H274" s="19">
        <f>IF(OR(A274="",C274=""),"",IF(WEEKDAY(A274,2)&gt;=6,UcretHaftaSonu,IF(OR(C274&gt;=AksamBas,C274&lt;TIME(6,0,0)),UcretAksam,UcretGunduz)))</f>
        <v/>
      </c>
      <c r="I274" s="19" t="n"/>
      <c r="J274" s="17" t="n"/>
      <c r="K274" s="19">
        <f>IF(H274="","",IF(J274="Evet",0,H274-N(I274)))</f>
        <v/>
      </c>
      <c r="L274" s="17" t="n"/>
      <c r="M274" s="17" t="n"/>
      <c r="N274">
        <f>IF(OR(A274="",C274="",D274="",L274="İptal"),"",IFERROR(INT(A274)*100000+ROUND(C274*1440,0)*10+MATCH(D274,Sahalar,0),""))</f>
        <v/>
      </c>
    </row>
    <row r="275">
      <c r="A275" s="16" t="n"/>
      <c r="B275" s="17">
        <f>IF(A275="","",CHOOSE(WEEKDAY(A275,2),"Pzt","Sal","Çar","Per","Cum","Cmt","Paz"))</f>
        <v/>
      </c>
      <c r="C275" s="18" t="n"/>
      <c r="D275" s="17" t="n"/>
      <c r="E275" s="17" t="n"/>
      <c r="F275" s="17" t="n"/>
      <c r="G275" s="17" t="n"/>
      <c r="H275" s="19">
        <f>IF(OR(A275="",C275=""),"",IF(WEEKDAY(A275,2)&gt;=6,UcretHaftaSonu,IF(OR(C275&gt;=AksamBas,C275&lt;TIME(6,0,0)),UcretAksam,UcretGunduz)))</f>
        <v/>
      </c>
      <c r="I275" s="19" t="n"/>
      <c r="J275" s="17" t="n"/>
      <c r="K275" s="19">
        <f>IF(H275="","",IF(J275="Evet",0,H275-N(I275)))</f>
        <v/>
      </c>
      <c r="L275" s="17" t="n"/>
      <c r="M275" s="17" t="n"/>
      <c r="N275">
        <f>IF(OR(A275="",C275="",D275="",L275="İptal"),"",IFERROR(INT(A275)*100000+ROUND(C275*1440,0)*10+MATCH(D275,Sahalar,0),""))</f>
        <v/>
      </c>
    </row>
    <row r="276">
      <c r="A276" s="16" t="n"/>
      <c r="B276" s="17">
        <f>IF(A276="","",CHOOSE(WEEKDAY(A276,2),"Pzt","Sal","Çar","Per","Cum","Cmt","Paz"))</f>
        <v/>
      </c>
      <c r="C276" s="18" t="n"/>
      <c r="D276" s="17" t="n"/>
      <c r="E276" s="17" t="n"/>
      <c r="F276" s="17" t="n"/>
      <c r="G276" s="17" t="n"/>
      <c r="H276" s="19">
        <f>IF(OR(A276="",C276=""),"",IF(WEEKDAY(A276,2)&gt;=6,UcretHaftaSonu,IF(OR(C276&gt;=AksamBas,C276&lt;TIME(6,0,0)),UcretAksam,UcretGunduz)))</f>
        <v/>
      </c>
      <c r="I276" s="19" t="n"/>
      <c r="J276" s="17" t="n"/>
      <c r="K276" s="19">
        <f>IF(H276="","",IF(J276="Evet",0,H276-N(I276)))</f>
        <v/>
      </c>
      <c r="L276" s="17" t="n"/>
      <c r="M276" s="17" t="n"/>
      <c r="N276">
        <f>IF(OR(A276="",C276="",D276="",L276="İptal"),"",IFERROR(INT(A276)*100000+ROUND(C276*1440,0)*10+MATCH(D276,Sahalar,0),""))</f>
        <v/>
      </c>
    </row>
    <row r="277">
      <c r="A277" s="16" t="n"/>
      <c r="B277" s="17">
        <f>IF(A277="","",CHOOSE(WEEKDAY(A277,2),"Pzt","Sal","Çar","Per","Cum","Cmt","Paz"))</f>
        <v/>
      </c>
      <c r="C277" s="18" t="n"/>
      <c r="D277" s="17" t="n"/>
      <c r="E277" s="17" t="n"/>
      <c r="F277" s="17" t="n"/>
      <c r="G277" s="17" t="n"/>
      <c r="H277" s="19">
        <f>IF(OR(A277="",C277=""),"",IF(WEEKDAY(A277,2)&gt;=6,UcretHaftaSonu,IF(OR(C277&gt;=AksamBas,C277&lt;TIME(6,0,0)),UcretAksam,UcretGunduz)))</f>
        <v/>
      </c>
      <c r="I277" s="19" t="n"/>
      <c r="J277" s="17" t="n"/>
      <c r="K277" s="19">
        <f>IF(H277="","",IF(J277="Evet",0,H277-N(I277)))</f>
        <v/>
      </c>
      <c r="L277" s="17" t="n"/>
      <c r="M277" s="17" t="n"/>
      <c r="N277">
        <f>IF(OR(A277="",C277="",D277="",L277="İptal"),"",IFERROR(INT(A277)*100000+ROUND(C277*1440,0)*10+MATCH(D277,Sahalar,0),""))</f>
        <v/>
      </c>
    </row>
    <row r="278">
      <c r="A278" s="16" t="n"/>
      <c r="B278" s="17">
        <f>IF(A278="","",CHOOSE(WEEKDAY(A278,2),"Pzt","Sal","Çar","Per","Cum","Cmt","Paz"))</f>
        <v/>
      </c>
      <c r="C278" s="18" t="n"/>
      <c r="D278" s="17" t="n"/>
      <c r="E278" s="17" t="n"/>
      <c r="F278" s="17" t="n"/>
      <c r="G278" s="17" t="n"/>
      <c r="H278" s="19">
        <f>IF(OR(A278="",C278=""),"",IF(WEEKDAY(A278,2)&gt;=6,UcretHaftaSonu,IF(OR(C278&gt;=AksamBas,C278&lt;TIME(6,0,0)),UcretAksam,UcretGunduz)))</f>
        <v/>
      </c>
      <c r="I278" s="19" t="n"/>
      <c r="J278" s="17" t="n"/>
      <c r="K278" s="19">
        <f>IF(H278="","",IF(J278="Evet",0,H278-N(I278)))</f>
        <v/>
      </c>
      <c r="L278" s="17" t="n"/>
      <c r="M278" s="17" t="n"/>
      <c r="N278">
        <f>IF(OR(A278="",C278="",D278="",L278="İptal"),"",IFERROR(INT(A278)*100000+ROUND(C278*1440,0)*10+MATCH(D278,Sahalar,0),""))</f>
        <v/>
      </c>
    </row>
    <row r="279">
      <c r="A279" s="16" t="n"/>
      <c r="B279" s="17">
        <f>IF(A279="","",CHOOSE(WEEKDAY(A279,2),"Pzt","Sal","Çar","Per","Cum","Cmt","Paz"))</f>
        <v/>
      </c>
      <c r="C279" s="18" t="n"/>
      <c r="D279" s="17" t="n"/>
      <c r="E279" s="17" t="n"/>
      <c r="F279" s="17" t="n"/>
      <c r="G279" s="17" t="n"/>
      <c r="H279" s="19">
        <f>IF(OR(A279="",C279=""),"",IF(WEEKDAY(A279,2)&gt;=6,UcretHaftaSonu,IF(OR(C279&gt;=AksamBas,C279&lt;TIME(6,0,0)),UcretAksam,UcretGunduz)))</f>
        <v/>
      </c>
      <c r="I279" s="19" t="n"/>
      <c r="J279" s="17" t="n"/>
      <c r="K279" s="19">
        <f>IF(H279="","",IF(J279="Evet",0,H279-N(I279)))</f>
        <v/>
      </c>
      <c r="L279" s="17" t="n"/>
      <c r="M279" s="17" t="n"/>
      <c r="N279">
        <f>IF(OR(A279="",C279="",D279="",L279="İptal"),"",IFERROR(INT(A279)*100000+ROUND(C279*1440,0)*10+MATCH(D279,Sahalar,0),""))</f>
        <v/>
      </c>
    </row>
    <row r="280">
      <c r="A280" s="16" t="n"/>
      <c r="B280" s="17">
        <f>IF(A280="","",CHOOSE(WEEKDAY(A280,2),"Pzt","Sal","Çar","Per","Cum","Cmt","Paz"))</f>
        <v/>
      </c>
      <c r="C280" s="18" t="n"/>
      <c r="D280" s="17" t="n"/>
      <c r="E280" s="17" t="n"/>
      <c r="F280" s="17" t="n"/>
      <c r="G280" s="17" t="n"/>
      <c r="H280" s="19">
        <f>IF(OR(A280="",C280=""),"",IF(WEEKDAY(A280,2)&gt;=6,UcretHaftaSonu,IF(OR(C280&gt;=AksamBas,C280&lt;TIME(6,0,0)),UcretAksam,UcretGunduz)))</f>
        <v/>
      </c>
      <c r="I280" s="19" t="n"/>
      <c r="J280" s="17" t="n"/>
      <c r="K280" s="19">
        <f>IF(H280="","",IF(J280="Evet",0,H280-N(I280)))</f>
        <v/>
      </c>
      <c r="L280" s="17" t="n"/>
      <c r="M280" s="17" t="n"/>
      <c r="N280">
        <f>IF(OR(A280="",C280="",D280="",L280="İptal"),"",IFERROR(INT(A280)*100000+ROUND(C280*1440,0)*10+MATCH(D280,Sahalar,0),""))</f>
        <v/>
      </c>
    </row>
    <row r="281">
      <c r="A281" s="16" t="n"/>
      <c r="B281" s="17">
        <f>IF(A281="","",CHOOSE(WEEKDAY(A281,2),"Pzt","Sal","Çar","Per","Cum","Cmt","Paz"))</f>
        <v/>
      </c>
      <c r="C281" s="18" t="n"/>
      <c r="D281" s="17" t="n"/>
      <c r="E281" s="17" t="n"/>
      <c r="F281" s="17" t="n"/>
      <c r="G281" s="17" t="n"/>
      <c r="H281" s="19">
        <f>IF(OR(A281="",C281=""),"",IF(WEEKDAY(A281,2)&gt;=6,UcretHaftaSonu,IF(OR(C281&gt;=AksamBas,C281&lt;TIME(6,0,0)),UcretAksam,UcretGunduz)))</f>
        <v/>
      </c>
      <c r="I281" s="19" t="n"/>
      <c r="J281" s="17" t="n"/>
      <c r="K281" s="19">
        <f>IF(H281="","",IF(J281="Evet",0,H281-N(I281)))</f>
        <v/>
      </c>
      <c r="L281" s="17" t="n"/>
      <c r="M281" s="17" t="n"/>
      <c r="N281">
        <f>IF(OR(A281="",C281="",D281="",L281="İptal"),"",IFERROR(INT(A281)*100000+ROUND(C281*1440,0)*10+MATCH(D281,Sahalar,0),""))</f>
        <v/>
      </c>
    </row>
    <row r="282">
      <c r="A282" s="16" t="n"/>
      <c r="B282" s="17">
        <f>IF(A282="","",CHOOSE(WEEKDAY(A282,2),"Pzt","Sal","Çar","Per","Cum","Cmt","Paz"))</f>
        <v/>
      </c>
      <c r="C282" s="18" t="n"/>
      <c r="D282" s="17" t="n"/>
      <c r="E282" s="17" t="n"/>
      <c r="F282" s="17" t="n"/>
      <c r="G282" s="17" t="n"/>
      <c r="H282" s="19">
        <f>IF(OR(A282="",C282=""),"",IF(WEEKDAY(A282,2)&gt;=6,UcretHaftaSonu,IF(OR(C282&gt;=AksamBas,C282&lt;TIME(6,0,0)),UcretAksam,UcretGunduz)))</f>
        <v/>
      </c>
      <c r="I282" s="19" t="n"/>
      <c r="J282" s="17" t="n"/>
      <c r="K282" s="19">
        <f>IF(H282="","",IF(J282="Evet",0,H282-N(I282)))</f>
        <v/>
      </c>
      <c r="L282" s="17" t="n"/>
      <c r="M282" s="17" t="n"/>
      <c r="N282">
        <f>IF(OR(A282="",C282="",D282="",L282="İptal"),"",IFERROR(INT(A282)*100000+ROUND(C282*1440,0)*10+MATCH(D282,Sahalar,0),""))</f>
        <v/>
      </c>
    </row>
    <row r="283">
      <c r="A283" s="16" t="n"/>
      <c r="B283" s="17">
        <f>IF(A283="","",CHOOSE(WEEKDAY(A283,2),"Pzt","Sal","Çar","Per","Cum","Cmt","Paz"))</f>
        <v/>
      </c>
      <c r="C283" s="18" t="n"/>
      <c r="D283" s="17" t="n"/>
      <c r="E283" s="17" t="n"/>
      <c r="F283" s="17" t="n"/>
      <c r="G283" s="17" t="n"/>
      <c r="H283" s="19">
        <f>IF(OR(A283="",C283=""),"",IF(WEEKDAY(A283,2)&gt;=6,UcretHaftaSonu,IF(OR(C283&gt;=AksamBas,C283&lt;TIME(6,0,0)),UcretAksam,UcretGunduz)))</f>
        <v/>
      </c>
      <c r="I283" s="19" t="n"/>
      <c r="J283" s="17" t="n"/>
      <c r="K283" s="19">
        <f>IF(H283="","",IF(J283="Evet",0,H283-N(I283)))</f>
        <v/>
      </c>
      <c r="L283" s="17" t="n"/>
      <c r="M283" s="17" t="n"/>
      <c r="N283">
        <f>IF(OR(A283="",C283="",D283="",L283="İptal"),"",IFERROR(INT(A283)*100000+ROUND(C283*1440,0)*10+MATCH(D283,Sahalar,0),""))</f>
        <v/>
      </c>
    </row>
    <row r="284">
      <c r="A284" s="16" t="n"/>
      <c r="B284" s="17">
        <f>IF(A284="","",CHOOSE(WEEKDAY(A284,2),"Pzt","Sal","Çar","Per","Cum","Cmt","Paz"))</f>
        <v/>
      </c>
      <c r="C284" s="18" t="n"/>
      <c r="D284" s="17" t="n"/>
      <c r="E284" s="17" t="n"/>
      <c r="F284" s="17" t="n"/>
      <c r="G284" s="17" t="n"/>
      <c r="H284" s="19">
        <f>IF(OR(A284="",C284=""),"",IF(WEEKDAY(A284,2)&gt;=6,UcretHaftaSonu,IF(OR(C284&gt;=AksamBas,C284&lt;TIME(6,0,0)),UcretAksam,UcretGunduz)))</f>
        <v/>
      </c>
      <c r="I284" s="19" t="n"/>
      <c r="J284" s="17" t="n"/>
      <c r="K284" s="19">
        <f>IF(H284="","",IF(J284="Evet",0,H284-N(I284)))</f>
        <v/>
      </c>
      <c r="L284" s="17" t="n"/>
      <c r="M284" s="17" t="n"/>
      <c r="N284">
        <f>IF(OR(A284="",C284="",D284="",L284="İptal"),"",IFERROR(INT(A284)*100000+ROUND(C284*1440,0)*10+MATCH(D284,Sahalar,0),""))</f>
        <v/>
      </c>
    </row>
    <row r="285">
      <c r="A285" s="16" t="n"/>
      <c r="B285" s="17">
        <f>IF(A285="","",CHOOSE(WEEKDAY(A285,2),"Pzt","Sal","Çar","Per","Cum","Cmt","Paz"))</f>
        <v/>
      </c>
      <c r="C285" s="18" t="n"/>
      <c r="D285" s="17" t="n"/>
      <c r="E285" s="17" t="n"/>
      <c r="F285" s="17" t="n"/>
      <c r="G285" s="17" t="n"/>
      <c r="H285" s="19">
        <f>IF(OR(A285="",C285=""),"",IF(WEEKDAY(A285,2)&gt;=6,UcretHaftaSonu,IF(OR(C285&gt;=AksamBas,C285&lt;TIME(6,0,0)),UcretAksam,UcretGunduz)))</f>
        <v/>
      </c>
      <c r="I285" s="19" t="n"/>
      <c r="J285" s="17" t="n"/>
      <c r="K285" s="19">
        <f>IF(H285="","",IF(J285="Evet",0,H285-N(I285)))</f>
        <v/>
      </c>
      <c r="L285" s="17" t="n"/>
      <c r="M285" s="17" t="n"/>
      <c r="N285">
        <f>IF(OR(A285="",C285="",D285="",L285="İptal"),"",IFERROR(INT(A285)*100000+ROUND(C285*1440,0)*10+MATCH(D285,Sahalar,0),""))</f>
        <v/>
      </c>
    </row>
    <row r="286">
      <c r="A286" s="16" t="n"/>
      <c r="B286" s="17">
        <f>IF(A286="","",CHOOSE(WEEKDAY(A286,2),"Pzt","Sal","Çar","Per","Cum","Cmt","Paz"))</f>
        <v/>
      </c>
      <c r="C286" s="18" t="n"/>
      <c r="D286" s="17" t="n"/>
      <c r="E286" s="17" t="n"/>
      <c r="F286" s="17" t="n"/>
      <c r="G286" s="17" t="n"/>
      <c r="H286" s="19">
        <f>IF(OR(A286="",C286=""),"",IF(WEEKDAY(A286,2)&gt;=6,UcretHaftaSonu,IF(OR(C286&gt;=AksamBas,C286&lt;TIME(6,0,0)),UcretAksam,UcretGunduz)))</f>
        <v/>
      </c>
      <c r="I286" s="19" t="n"/>
      <c r="J286" s="17" t="n"/>
      <c r="K286" s="19">
        <f>IF(H286="","",IF(J286="Evet",0,H286-N(I286)))</f>
        <v/>
      </c>
      <c r="L286" s="17" t="n"/>
      <c r="M286" s="17" t="n"/>
      <c r="N286">
        <f>IF(OR(A286="",C286="",D286="",L286="İptal"),"",IFERROR(INT(A286)*100000+ROUND(C286*1440,0)*10+MATCH(D286,Sahalar,0),""))</f>
        <v/>
      </c>
    </row>
    <row r="287">
      <c r="A287" s="16" t="n"/>
      <c r="B287" s="17">
        <f>IF(A287="","",CHOOSE(WEEKDAY(A287,2),"Pzt","Sal","Çar","Per","Cum","Cmt","Paz"))</f>
        <v/>
      </c>
      <c r="C287" s="18" t="n"/>
      <c r="D287" s="17" t="n"/>
      <c r="E287" s="17" t="n"/>
      <c r="F287" s="17" t="n"/>
      <c r="G287" s="17" t="n"/>
      <c r="H287" s="19">
        <f>IF(OR(A287="",C287=""),"",IF(WEEKDAY(A287,2)&gt;=6,UcretHaftaSonu,IF(OR(C287&gt;=AksamBas,C287&lt;TIME(6,0,0)),UcretAksam,UcretGunduz)))</f>
        <v/>
      </c>
      <c r="I287" s="19" t="n"/>
      <c r="J287" s="17" t="n"/>
      <c r="K287" s="19">
        <f>IF(H287="","",IF(J287="Evet",0,H287-N(I287)))</f>
        <v/>
      </c>
      <c r="L287" s="17" t="n"/>
      <c r="M287" s="17" t="n"/>
      <c r="N287">
        <f>IF(OR(A287="",C287="",D287="",L287="İptal"),"",IFERROR(INT(A287)*100000+ROUND(C287*1440,0)*10+MATCH(D287,Sahalar,0),""))</f>
        <v/>
      </c>
    </row>
    <row r="288">
      <c r="A288" s="16" t="n"/>
      <c r="B288" s="17">
        <f>IF(A288="","",CHOOSE(WEEKDAY(A288,2),"Pzt","Sal","Çar","Per","Cum","Cmt","Paz"))</f>
        <v/>
      </c>
      <c r="C288" s="18" t="n"/>
      <c r="D288" s="17" t="n"/>
      <c r="E288" s="17" t="n"/>
      <c r="F288" s="17" t="n"/>
      <c r="G288" s="17" t="n"/>
      <c r="H288" s="19">
        <f>IF(OR(A288="",C288=""),"",IF(WEEKDAY(A288,2)&gt;=6,UcretHaftaSonu,IF(OR(C288&gt;=AksamBas,C288&lt;TIME(6,0,0)),UcretAksam,UcretGunduz)))</f>
        <v/>
      </c>
      <c r="I288" s="19" t="n"/>
      <c r="J288" s="17" t="n"/>
      <c r="K288" s="19">
        <f>IF(H288="","",IF(J288="Evet",0,H288-N(I288)))</f>
        <v/>
      </c>
      <c r="L288" s="17" t="n"/>
      <c r="M288" s="17" t="n"/>
      <c r="N288">
        <f>IF(OR(A288="",C288="",D288="",L288="İptal"),"",IFERROR(INT(A288)*100000+ROUND(C288*1440,0)*10+MATCH(D288,Sahalar,0),""))</f>
        <v/>
      </c>
    </row>
    <row r="289">
      <c r="A289" s="16" t="n"/>
      <c r="B289" s="17">
        <f>IF(A289="","",CHOOSE(WEEKDAY(A289,2),"Pzt","Sal","Çar","Per","Cum","Cmt","Paz"))</f>
        <v/>
      </c>
      <c r="C289" s="18" t="n"/>
      <c r="D289" s="17" t="n"/>
      <c r="E289" s="17" t="n"/>
      <c r="F289" s="17" t="n"/>
      <c r="G289" s="17" t="n"/>
      <c r="H289" s="19">
        <f>IF(OR(A289="",C289=""),"",IF(WEEKDAY(A289,2)&gt;=6,UcretHaftaSonu,IF(OR(C289&gt;=AksamBas,C289&lt;TIME(6,0,0)),UcretAksam,UcretGunduz)))</f>
        <v/>
      </c>
      <c r="I289" s="19" t="n"/>
      <c r="J289" s="17" t="n"/>
      <c r="K289" s="19">
        <f>IF(H289="","",IF(J289="Evet",0,H289-N(I289)))</f>
        <v/>
      </c>
      <c r="L289" s="17" t="n"/>
      <c r="M289" s="17" t="n"/>
      <c r="N289">
        <f>IF(OR(A289="",C289="",D289="",L289="İptal"),"",IFERROR(INT(A289)*100000+ROUND(C289*1440,0)*10+MATCH(D289,Sahalar,0),""))</f>
        <v/>
      </c>
    </row>
    <row r="290">
      <c r="A290" s="16" t="n"/>
      <c r="B290" s="17">
        <f>IF(A290="","",CHOOSE(WEEKDAY(A290,2),"Pzt","Sal","Çar","Per","Cum","Cmt","Paz"))</f>
        <v/>
      </c>
      <c r="C290" s="18" t="n"/>
      <c r="D290" s="17" t="n"/>
      <c r="E290" s="17" t="n"/>
      <c r="F290" s="17" t="n"/>
      <c r="G290" s="17" t="n"/>
      <c r="H290" s="19">
        <f>IF(OR(A290="",C290=""),"",IF(WEEKDAY(A290,2)&gt;=6,UcretHaftaSonu,IF(OR(C290&gt;=AksamBas,C290&lt;TIME(6,0,0)),UcretAksam,UcretGunduz)))</f>
        <v/>
      </c>
      <c r="I290" s="19" t="n"/>
      <c r="J290" s="17" t="n"/>
      <c r="K290" s="19">
        <f>IF(H290="","",IF(J290="Evet",0,H290-N(I290)))</f>
        <v/>
      </c>
      <c r="L290" s="17" t="n"/>
      <c r="M290" s="17" t="n"/>
      <c r="N290">
        <f>IF(OR(A290="",C290="",D290="",L290="İptal"),"",IFERROR(INT(A290)*100000+ROUND(C290*1440,0)*10+MATCH(D290,Sahalar,0),""))</f>
        <v/>
      </c>
    </row>
    <row r="291">
      <c r="A291" s="16" t="n"/>
      <c r="B291" s="17">
        <f>IF(A291="","",CHOOSE(WEEKDAY(A291,2),"Pzt","Sal","Çar","Per","Cum","Cmt","Paz"))</f>
        <v/>
      </c>
      <c r="C291" s="18" t="n"/>
      <c r="D291" s="17" t="n"/>
      <c r="E291" s="17" t="n"/>
      <c r="F291" s="17" t="n"/>
      <c r="G291" s="17" t="n"/>
      <c r="H291" s="19">
        <f>IF(OR(A291="",C291=""),"",IF(WEEKDAY(A291,2)&gt;=6,UcretHaftaSonu,IF(OR(C291&gt;=AksamBas,C291&lt;TIME(6,0,0)),UcretAksam,UcretGunduz)))</f>
        <v/>
      </c>
      <c r="I291" s="19" t="n"/>
      <c r="J291" s="17" t="n"/>
      <c r="K291" s="19">
        <f>IF(H291="","",IF(J291="Evet",0,H291-N(I291)))</f>
        <v/>
      </c>
      <c r="L291" s="17" t="n"/>
      <c r="M291" s="17" t="n"/>
      <c r="N291">
        <f>IF(OR(A291="",C291="",D291="",L291="İptal"),"",IFERROR(INT(A291)*100000+ROUND(C291*1440,0)*10+MATCH(D291,Sahalar,0),""))</f>
        <v/>
      </c>
    </row>
    <row r="292">
      <c r="A292" s="16" t="n"/>
      <c r="B292" s="17">
        <f>IF(A292="","",CHOOSE(WEEKDAY(A292,2),"Pzt","Sal","Çar","Per","Cum","Cmt","Paz"))</f>
        <v/>
      </c>
      <c r="C292" s="18" t="n"/>
      <c r="D292" s="17" t="n"/>
      <c r="E292" s="17" t="n"/>
      <c r="F292" s="17" t="n"/>
      <c r="G292" s="17" t="n"/>
      <c r="H292" s="19">
        <f>IF(OR(A292="",C292=""),"",IF(WEEKDAY(A292,2)&gt;=6,UcretHaftaSonu,IF(OR(C292&gt;=AksamBas,C292&lt;TIME(6,0,0)),UcretAksam,UcretGunduz)))</f>
        <v/>
      </c>
      <c r="I292" s="19" t="n"/>
      <c r="J292" s="17" t="n"/>
      <c r="K292" s="19">
        <f>IF(H292="","",IF(J292="Evet",0,H292-N(I292)))</f>
        <v/>
      </c>
      <c r="L292" s="17" t="n"/>
      <c r="M292" s="17" t="n"/>
      <c r="N292">
        <f>IF(OR(A292="",C292="",D292="",L292="İptal"),"",IFERROR(INT(A292)*100000+ROUND(C292*1440,0)*10+MATCH(D292,Sahalar,0),""))</f>
        <v/>
      </c>
    </row>
    <row r="293">
      <c r="A293" s="16" t="n"/>
      <c r="B293" s="17">
        <f>IF(A293="","",CHOOSE(WEEKDAY(A293,2),"Pzt","Sal","Çar","Per","Cum","Cmt","Paz"))</f>
        <v/>
      </c>
      <c r="C293" s="18" t="n"/>
      <c r="D293" s="17" t="n"/>
      <c r="E293" s="17" t="n"/>
      <c r="F293" s="17" t="n"/>
      <c r="G293" s="17" t="n"/>
      <c r="H293" s="19">
        <f>IF(OR(A293="",C293=""),"",IF(WEEKDAY(A293,2)&gt;=6,UcretHaftaSonu,IF(OR(C293&gt;=AksamBas,C293&lt;TIME(6,0,0)),UcretAksam,UcretGunduz)))</f>
        <v/>
      </c>
      <c r="I293" s="19" t="n"/>
      <c r="J293" s="17" t="n"/>
      <c r="K293" s="19">
        <f>IF(H293="","",IF(J293="Evet",0,H293-N(I293)))</f>
        <v/>
      </c>
      <c r="L293" s="17" t="n"/>
      <c r="M293" s="17" t="n"/>
      <c r="N293">
        <f>IF(OR(A293="",C293="",D293="",L293="İptal"),"",IFERROR(INT(A293)*100000+ROUND(C293*1440,0)*10+MATCH(D293,Sahalar,0),""))</f>
        <v/>
      </c>
    </row>
    <row r="294">
      <c r="A294" s="16" t="n"/>
      <c r="B294" s="17">
        <f>IF(A294="","",CHOOSE(WEEKDAY(A294,2),"Pzt","Sal","Çar","Per","Cum","Cmt","Paz"))</f>
        <v/>
      </c>
      <c r="C294" s="18" t="n"/>
      <c r="D294" s="17" t="n"/>
      <c r="E294" s="17" t="n"/>
      <c r="F294" s="17" t="n"/>
      <c r="G294" s="17" t="n"/>
      <c r="H294" s="19">
        <f>IF(OR(A294="",C294=""),"",IF(WEEKDAY(A294,2)&gt;=6,UcretHaftaSonu,IF(OR(C294&gt;=AksamBas,C294&lt;TIME(6,0,0)),UcretAksam,UcretGunduz)))</f>
        <v/>
      </c>
      <c r="I294" s="19" t="n"/>
      <c r="J294" s="17" t="n"/>
      <c r="K294" s="19">
        <f>IF(H294="","",IF(J294="Evet",0,H294-N(I294)))</f>
        <v/>
      </c>
      <c r="L294" s="17" t="n"/>
      <c r="M294" s="17" t="n"/>
      <c r="N294">
        <f>IF(OR(A294="",C294="",D294="",L294="İptal"),"",IFERROR(INT(A294)*100000+ROUND(C294*1440,0)*10+MATCH(D294,Sahalar,0),""))</f>
        <v/>
      </c>
    </row>
    <row r="295">
      <c r="A295" s="16" t="n"/>
      <c r="B295" s="17">
        <f>IF(A295="","",CHOOSE(WEEKDAY(A295,2),"Pzt","Sal","Çar","Per","Cum","Cmt","Paz"))</f>
        <v/>
      </c>
      <c r="C295" s="18" t="n"/>
      <c r="D295" s="17" t="n"/>
      <c r="E295" s="17" t="n"/>
      <c r="F295" s="17" t="n"/>
      <c r="G295" s="17" t="n"/>
      <c r="H295" s="19">
        <f>IF(OR(A295="",C295=""),"",IF(WEEKDAY(A295,2)&gt;=6,UcretHaftaSonu,IF(OR(C295&gt;=AksamBas,C295&lt;TIME(6,0,0)),UcretAksam,UcretGunduz)))</f>
        <v/>
      </c>
      <c r="I295" s="19" t="n"/>
      <c r="J295" s="17" t="n"/>
      <c r="K295" s="19">
        <f>IF(H295="","",IF(J295="Evet",0,H295-N(I295)))</f>
        <v/>
      </c>
      <c r="L295" s="17" t="n"/>
      <c r="M295" s="17" t="n"/>
      <c r="N295">
        <f>IF(OR(A295="",C295="",D295="",L295="İptal"),"",IFERROR(INT(A295)*100000+ROUND(C295*1440,0)*10+MATCH(D295,Sahalar,0),""))</f>
        <v/>
      </c>
    </row>
    <row r="296">
      <c r="A296" s="16" t="n"/>
      <c r="B296" s="17">
        <f>IF(A296="","",CHOOSE(WEEKDAY(A296,2),"Pzt","Sal","Çar","Per","Cum","Cmt","Paz"))</f>
        <v/>
      </c>
      <c r="C296" s="18" t="n"/>
      <c r="D296" s="17" t="n"/>
      <c r="E296" s="17" t="n"/>
      <c r="F296" s="17" t="n"/>
      <c r="G296" s="17" t="n"/>
      <c r="H296" s="19">
        <f>IF(OR(A296="",C296=""),"",IF(WEEKDAY(A296,2)&gt;=6,UcretHaftaSonu,IF(OR(C296&gt;=AksamBas,C296&lt;TIME(6,0,0)),UcretAksam,UcretGunduz)))</f>
        <v/>
      </c>
      <c r="I296" s="19" t="n"/>
      <c r="J296" s="17" t="n"/>
      <c r="K296" s="19">
        <f>IF(H296="","",IF(J296="Evet",0,H296-N(I296)))</f>
        <v/>
      </c>
      <c r="L296" s="17" t="n"/>
      <c r="M296" s="17" t="n"/>
      <c r="N296">
        <f>IF(OR(A296="",C296="",D296="",L296="İptal"),"",IFERROR(INT(A296)*100000+ROUND(C296*1440,0)*10+MATCH(D296,Sahalar,0),""))</f>
        <v/>
      </c>
    </row>
    <row r="297">
      <c r="A297" s="16" t="n"/>
      <c r="B297" s="17">
        <f>IF(A297="","",CHOOSE(WEEKDAY(A297,2),"Pzt","Sal","Çar","Per","Cum","Cmt","Paz"))</f>
        <v/>
      </c>
      <c r="C297" s="18" t="n"/>
      <c r="D297" s="17" t="n"/>
      <c r="E297" s="17" t="n"/>
      <c r="F297" s="17" t="n"/>
      <c r="G297" s="17" t="n"/>
      <c r="H297" s="19">
        <f>IF(OR(A297="",C297=""),"",IF(WEEKDAY(A297,2)&gt;=6,UcretHaftaSonu,IF(OR(C297&gt;=AksamBas,C297&lt;TIME(6,0,0)),UcretAksam,UcretGunduz)))</f>
        <v/>
      </c>
      <c r="I297" s="19" t="n"/>
      <c r="J297" s="17" t="n"/>
      <c r="K297" s="19">
        <f>IF(H297="","",IF(J297="Evet",0,H297-N(I297)))</f>
        <v/>
      </c>
      <c r="L297" s="17" t="n"/>
      <c r="M297" s="17" t="n"/>
      <c r="N297">
        <f>IF(OR(A297="",C297="",D297="",L297="İptal"),"",IFERROR(INT(A297)*100000+ROUND(C297*1440,0)*10+MATCH(D297,Sahalar,0),""))</f>
        <v/>
      </c>
    </row>
    <row r="298">
      <c r="A298" s="16" t="n"/>
      <c r="B298" s="17">
        <f>IF(A298="","",CHOOSE(WEEKDAY(A298,2),"Pzt","Sal","Çar","Per","Cum","Cmt","Paz"))</f>
        <v/>
      </c>
      <c r="C298" s="18" t="n"/>
      <c r="D298" s="17" t="n"/>
      <c r="E298" s="17" t="n"/>
      <c r="F298" s="17" t="n"/>
      <c r="G298" s="17" t="n"/>
      <c r="H298" s="19">
        <f>IF(OR(A298="",C298=""),"",IF(WEEKDAY(A298,2)&gt;=6,UcretHaftaSonu,IF(OR(C298&gt;=AksamBas,C298&lt;TIME(6,0,0)),UcretAksam,UcretGunduz)))</f>
        <v/>
      </c>
      <c r="I298" s="19" t="n"/>
      <c r="J298" s="17" t="n"/>
      <c r="K298" s="19">
        <f>IF(H298="","",IF(J298="Evet",0,H298-N(I298)))</f>
        <v/>
      </c>
      <c r="L298" s="17" t="n"/>
      <c r="M298" s="17" t="n"/>
      <c r="N298">
        <f>IF(OR(A298="",C298="",D298="",L298="İptal"),"",IFERROR(INT(A298)*100000+ROUND(C298*1440,0)*10+MATCH(D298,Sahalar,0),""))</f>
        <v/>
      </c>
    </row>
    <row r="299">
      <c r="A299" s="16" t="n"/>
      <c r="B299" s="17">
        <f>IF(A299="","",CHOOSE(WEEKDAY(A299,2),"Pzt","Sal","Çar","Per","Cum","Cmt","Paz"))</f>
        <v/>
      </c>
      <c r="C299" s="18" t="n"/>
      <c r="D299" s="17" t="n"/>
      <c r="E299" s="17" t="n"/>
      <c r="F299" s="17" t="n"/>
      <c r="G299" s="17" t="n"/>
      <c r="H299" s="19">
        <f>IF(OR(A299="",C299=""),"",IF(WEEKDAY(A299,2)&gt;=6,UcretHaftaSonu,IF(OR(C299&gt;=AksamBas,C299&lt;TIME(6,0,0)),UcretAksam,UcretGunduz)))</f>
        <v/>
      </c>
      <c r="I299" s="19" t="n"/>
      <c r="J299" s="17" t="n"/>
      <c r="K299" s="19">
        <f>IF(H299="","",IF(J299="Evet",0,H299-N(I299)))</f>
        <v/>
      </c>
      <c r="L299" s="17" t="n"/>
      <c r="M299" s="17" t="n"/>
      <c r="N299">
        <f>IF(OR(A299="",C299="",D299="",L299="İptal"),"",IFERROR(INT(A299)*100000+ROUND(C299*1440,0)*10+MATCH(D299,Sahalar,0),""))</f>
        <v/>
      </c>
    </row>
    <row r="300">
      <c r="A300" s="16" t="n"/>
      <c r="B300" s="17">
        <f>IF(A300="","",CHOOSE(WEEKDAY(A300,2),"Pzt","Sal","Çar","Per","Cum","Cmt","Paz"))</f>
        <v/>
      </c>
      <c r="C300" s="18" t="n"/>
      <c r="D300" s="17" t="n"/>
      <c r="E300" s="17" t="n"/>
      <c r="F300" s="17" t="n"/>
      <c r="G300" s="17" t="n"/>
      <c r="H300" s="19">
        <f>IF(OR(A300="",C300=""),"",IF(WEEKDAY(A300,2)&gt;=6,UcretHaftaSonu,IF(OR(C300&gt;=AksamBas,C300&lt;TIME(6,0,0)),UcretAksam,UcretGunduz)))</f>
        <v/>
      </c>
      <c r="I300" s="19" t="n"/>
      <c r="J300" s="17" t="n"/>
      <c r="K300" s="19">
        <f>IF(H300="","",IF(J300="Evet",0,H300-N(I300)))</f>
        <v/>
      </c>
      <c r="L300" s="17" t="n"/>
      <c r="M300" s="17" t="n"/>
      <c r="N300">
        <f>IF(OR(A300="",C300="",D300="",L300="İptal"),"",IFERROR(INT(A300)*100000+ROUND(C300*1440,0)*10+MATCH(D300,Sahalar,0),""))</f>
        <v/>
      </c>
    </row>
    <row r="301">
      <c r="A301" s="16" t="n"/>
      <c r="B301" s="17">
        <f>IF(A301="","",CHOOSE(WEEKDAY(A301,2),"Pzt","Sal","Çar","Per","Cum","Cmt","Paz"))</f>
        <v/>
      </c>
      <c r="C301" s="18" t="n"/>
      <c r="D301" s="17" t="n"/>
      <c r="E301" s="17" t="n"/>
      <c r="F301" s="17" t="n"/>
      <c r="G301" s="17" t="n"/>
      <c r="H301" s="19">
        <f>IF(OR(A301="",C301=""),"",IF(WEEKDAY(A301,2)&gt;=6,UcretHaftaSonu,IF(OR(C301&gt;=AksamBas,C301&lt;TIME(6,0,0)),UcretAksam,UcretGunduz)))</f>
        <v/>
      </c>
      <c r="I301" s="19" t="n"/>
      <c r="J301" s="17" t="n"/>
      <c r="K301" s="19">
        <f>IF(H301="","",IF(J301="Evet",0,H301-N(I301)))</f>
        <v/>
      </c>
      <c r="L301" s="17" t="n"/>
      <c r="M301" s="17" t="n"/>
      <c r="N301">
        <f>IF(OR(A301="",C301="",D301="",L301="İptal"),"",IFERROR(INT(A301)*100000+ROUND(C301*1440,0)*10+MATCH(D301,Sahalar,0),""))</f>
        <v/>
      </c>
    </row>
    <row r="302">
      <c r="A302" s="16" t="n"/>
      <c r="B302" s="17">
        <f>IF(A302="","",CHOOSE(WEEKDAY(A302,2),"Pzt","Sal","Çar","Per","Cum","Cmt","Paz"))</f>
        <v/>
      </c>
      <c r="C302" s="18" t="n"/>
      <c r="D302" s="17" t="n"/>
      <c r="E302" s="17" t="n"/>
      <c r="F302" s="17" t="n"/>
      <c r="G302" s="17" t="n"/>
      <c r="H302" s="19">
        <f>IF(OR(A302="",C302=""),"",IF(WEEKDAY(A302,2)&gt;=6,UcretHaftaSonu,IF(OR(C302&gt;=AksamBas,C302&lt;TIME(6,0,0)),UcretAksam,UcretGunduz)))</f>
        <v/>
      </c>
      <c r="I302" s="19" t="n"/>
      <c r="J302" s="17" t="n"/>
      <c r="K302" s="19">
        <f>IF(H302="","",IF(J302="Evet",0,H302-N(I302)))</f>
        <v/>
      </c>
      <c r="L302" s="17" t="n"/>
      <c r="M302" s="17" t="n"/>
      <c r="N302">
        <f>IF(OR(A302="",C302="",D302="",L302="İptal"),"",IFERROR(INT(A302)*100000+ROUND(C302*1440,0)*10+MATCH(D302,Sahalar,0),""))</f>
        <v/>
      </c>
    </row>
    <row r="303">
      <c r="A303" s="16" t="n"/>
      <c r="B303" s="17">
        <f>IF(A303="","",CHOOSE(WEEKDAY(A303,2),"Pzt","Sal","Çar","Per","Cum","Cmt","Paz"))</f>
        <v/>
      </c>
      <c r="C303" s="18" t="n"/>
      <c r="D303" s="17" t="n"/>
      <c r="E303" s="17" t="n"/>
      <c r="F303" s="17" t="n"/>
      <c r="G303" s="17" t="n"/>
      <c r="H303" s="19">
        <f>IF(OR(A303="",C303=""),"",IF(WEEKDAY(A303,2)&gt;=6,UcretHaftaSonu,IF(OR(C303&gt;=AksamBas,C303&lt;TIME(6,0,0)),UcretAksam,UcretGunduz)))</f>
        <v/>
      </c>
      <c r="I303" s="19" t="n"/>
      <c r="J303" s="17" t="n"/>
      <c r="K303" s="19">
        <f>IF(H303="","",IF(J303="Evet",0,H303-N(I303)))</f>
        <v/>
      </c>
      <c r="L303" s="17" t="n"/>
      <c r="M303" s="17" t="n"/>
      <c r="N303">
        <f>IF(OR(A303="",C303="",D303="",L303="İptal"),"",IFERROR(INT(A303)*100000+ROUND(C303*1440,0)*10+MATCH(D303,Sahalar,0),""))</f>
        <v/>
      </c>
    </row>
    <row r="304">
      <c r="A304" s="16" t="n"/>
      <c r="B304" s="17">
        <f>IF(A304="","",CHOOSE(WEEKDAY(A304,2),"Pzt","Sal","Çar","Per","Cum","Cmt","Paz"))</f>
        <v/>
      </c>
      <c r="C304" s="18" t="n"/>
      <c r="D304" s="17" t="n"/>
      <c r="E304" s="17" t="n"/>
      <c r="F304" s="17" t="n"/>
      <c r="G304" s="17" t="n"/>
      <c r="H304" s="19">
        <f>IF(OR(A304="",C304=""),"",IF(WEEKDAY(A304,2)&gt;=6,UcretHaftaSonu,IF(OR(C304&gt;=AksamBas,C304&lt;TIME(6,0,0)),UcretAksam,UcretGunduz)))</f>
        <v/>
      </c>
      <c r="I304" s="19" t="n"/>
      <c r="J304" s="17" t="n"/>
      <c r="K304" s="19">
        <f>IF(H304="","",IF(J304="Evet",0,H304-N(I304)))</f>
        <v/>
      </c>
      <c r="L304" s="17" t="n"/>
      <c r="M304" s="17" t="n"/>
      <c r="N304">
        <f>IF(OR(A304="",C304="",D304="",L304="İptal"),"",IFERROR(INT(A304)*100000+ROUND(C304*1440,0)*10+MATCH(D304,Sahalar,0),""))</f>
        <v/>
      </c>
    </row>
    <row r="305">
      <c r="A305" s="16" t="n"/>
      <c r="B305" s="17">
        <f>IF(A305="","",CHOOSE(WEEKDAY(A305,2),"Pzt","Sal","Çar","Per","Cum","Cmt","Paz"))</f>
        <v/>
      </c>
      <c r="C305" s="18" t="n"/>
      <c r="D305" s="17" t="n"/>
      <c r="E305" s="17" t="n"/>
      <c r="F305" s="17" t="n"/>
      <c r="G305" s="17" t="n"/>
      <c r="H305" s="19">
        <f>IF(OR(A305="",C305=""),"",IF(WEEKDAY(A305,2)&gt;=6,UcretHaftaSonu,IF(OR(C305&gt;=AksamBas,C305&lt;TIME(6,0,0)),UcretAksam,UcretGunduz)))</f>
        <v/>
      </c>
      <c r="I305" s="19" t="n"/>
      <c r="J305" s="17" t="n"/>
      <c r="K305" s="19">
        <f>IF(H305="","",IF(J305="Evet",0,H305-N(I305)))</f>
        <v/>
      </c>
      <c r="L305" s="17" t="n"/>
      <c r="M305" s="17" t="n"/>
      <c r="N305">
        <f>IF(OR(A305="",C305="",D305="",L305="İptal"),"",IFERROR(INT(A305)*100000+ROUND(C305*1440,0)*10+MATCH(D305,Sahalar,0),""))</f>
        <v/>
      </c>
    </row>
    <row r="306">
      <c r="A306" s="16" t="n"/>
      <c r="B306" s="17">
        <f>IF(A306="","",CHOOSE(WEEKDAY(A306,2),"Pzt","Sal","Çar","Per","Cum","Cmt","Paz"))</f>
        <v/>
      </c>
      <c r="C306" s="18" t="n"/>
      <c r="D306" s="17" t="n"/>
      <c r="E306" s="17" t="n"/>
      <c r="F306" s="17" t="n"/>
      <c r="G306" s="17" t="n"/>
      <c r="H306" s="19">
        <f>IF(OR(A306="",C306=""),"",IF(WEEKDAY(A306,2)&gt;=6,UcretHaftaSonu,IF(OR(C306&gt;=AksamBas,C306&lt;TIME(6,0,0)),UcretAksam,UcretGunduz)))</f>
        <v/>
      </c>
      <c r="I306" s="19" t="n"/>
      <c r="J306" s="17" t="n"/>
      <c r="K306" s="19">
        <f>IF(H306="","",IF(J306="Evet",0,H306-N(I306)))</f>
        <v/>
      </c>
      <c r="L306" s="17" t="n"/>
      <c r="M306" s="17" t="n"/>
      <c r="N306">
        <f>IF(OR(A306="",C306="",D306="",L306="İptal"),"",IFERROR(INT(A306)*100000+ROUND(C306*1440,0)*10+MATCH(D306,Sahalar,0),""))</f>
        <v/>
      </c>
    </row>
    <row r="307">
      <c r="A307" s="16" t="n"/>
      <c r="B307" s="17">
        <f>IF(A307="","",CHOOSE(WEEKDAY(A307,2),"Pzt","Sal","Çar","Per","Cum","Cmt","Paz"))</f>
        <v/>
      </c>
      <c r="C307" s="18" t="n"/>
      <c r="D307" s="17" t="n"/>
      <c r="E307" s="17" t="n"/>
      <c r="F307" s="17" t="n"/>
      <c r="G307" s="17" t="n"/>
      <c r="H307" s="19">
        <f>IF(OR(A307="",C307=""),"",IF(WEEKDAY(A307,2)&gt;=6,UcretHaftaSonu,IF(OR(C307&gt;=AksamBas,C307&lt;TIME(6,0,0)),UcretAksam,UcretGunduz)))</f>
        <v/>
      </c>
      <c r="I307" s="19" t="n"/>
      <c r="J307" s="17" t="n"/>
      <c r="K307" s="19">
        <f>IF(H307="","",IF(J307="Evet",0,H307-N(I307)))</f>
        <v/>
      </c>
      <c r="L307" s="17" t="n"/>
      <c r="M307" s="17" t="n"/>
      <c r="N307">
        <f>IF(OR(A307="",C307="",D307="",L307="İptal"),"",IFERROR(INT(A307)*100000+ROUND(C307*1440,0)*10+MATCH(D307,Sahalar,0),""))</f>
        <v/>
      </c>
    </row>
    <row r="308">
      <c r="A308" s="16" t="n"/>
      <c r="B308" s="17">
        <f>IF(A308="","",CHOOSE(WEEKDAY(A308,2),"Pzt","Sal","Çar","Per","Cum","Cmt","Paz"))</f>
        <v/>
      </c>
      <c r="C308" s="18" t="n"/>
      <c r="D308" s="17" t="n"/>
      <c r="E308" s="17" t="n"/>
      <c r="F308" s="17" t="n"/>
      <c r="G308" s="17" t="n"/>
      <c r="H308" s="19">
        <f>IF(OR(A308="",C308=""),"",IF(WEEKDAY(A308,2)&gt;=6,UcretHaftaSonu,IF(OR(C308&gt;=AksamBas,C308&lt;TIME(6,0,0)),UcretAksam,UcretGunduz)))</f>
        <v/>
      </c>
      <c r="I308" s="19" t="n"/>
      <c r="J308" s="17" t="n"/>
      <c r="K308" s="19">
        <f>IF(H308="","",IF(J308="Evet",0,H308-N(I308)))</f>
        <v/>
      </c>
      <c r="L308" s="17" t="n"/>
      <c r="M308" s="17" t="n"/>
      <c r="N308">
        <f>IF(OR(A308="",C308="",D308="",L308="İptal"),"",IFERROR(INT(A308)*100000+ROUND(C308*1440,0)*10+MATCH(D308,Sahalar,0),""))</f>
        <v/>
      </c>
    </row>
    <row r="309">
      <c r="A309" s="16" t="n"/>
      <c r="B309" s="17">
        <f>IF(A309="","",CHOOSE(WEEKDAY(A309,2),"Pzt","Sal","Çar","Per","Cum","Cmt","Paz"))</f>
        <v/>
      </c>
      <c r="C309" s="18" t="n"/>
      <c r="D309" s="17" t="n"/>
      <c r="E309" s="17" t="n"/>
      <c r="F309" s="17" t="n"/>
      <c r="G309" s="17" t="n"/>
      <c r="H309" s="19">
        <f>IF(OR(A309="",C309=""),"",IF(WEEKDAY(A309,2)&gt;=6,UcretHaftaSonu,IF(OR(C309&gt;=AksamBas,C309&lt;TIME(6,0,0)),UcretAksam,UcretGunduz)))</f>
        <v/>
      </c>
      <c r="I309" s="19" t="n"/>
      <c r="J309" s="17" t="n"/>
      <c r="K309" s="19">
        <f>IF(H309="","",IF(J309="Evet",0,H309-N(I309)))</f>
        <v/>
      </c>
      <c r="L309" s="17" t="n"/>
      <c r="M309" s="17" t="n"/>
      <c r="N309">
        <f>IF(OR(A309="",C309="",D309="",L309="İptal"),"",IFERROR(INT(A309)*100000+ROUND(C309*1440,0)*10+MATCH(D309,Sahalar,0),""))</f>
        <v/>
      </c>
    </row>
    <row r="310">
      <c r="A310" s="16" t="n"/>
      <c r="B310" s="17">
        <f>IF(A310="","",CHOOSE(WEEKDAY(A310,2),"Pzt","Sal","Çar","Per","Cum","Cmt","Paz"))</f>
        <v/>
      </c>
      <c r="C310" s="18" t="n"/>
      <c r="D310" s="17" t="n"/>
      <c r="E310" s="17" t="n"/>
      <c r="F310" s="17" t="n"/>
      <c r="G310" s="17" t="n"/>
      <c r="H310" s="19">
        <f>IF(OR(A310="",C310=""),"",IF(WEEKDAY(A310,2)&gt;=6,UcretHaftaSonu,IF(OR(C310&gt;=AksamBas,C310&lt;TIME(6,0,0)),UcretAksam,UcretGunduz)))</f>
        <v/>
      </c>
      <c r="I310" s="19" t="n"/>
      <c r="J310" s="17" t="n"/>
      <c r="K310" s="19">
        <f>IF(H310="","",IF(J310="Evet",0,H310-N(I310)))</f>
        <v/>
      </c>
      <c r="L310" s="17" t="n"/>
      <c r="M310" s="17" t="n"/>
      <c r="N310">
        <f>IF(OR(A310="",C310="",D310="",L310="İptal"),"",IFERROR(INT(A310)*100000+ROUND(C310*1440,0)*10+MATCH(D310,Sahalar,0),""))</f>
        <v/>
      </c>
    </row>
    <row r="311">
      <c r="A311" s="16" t="n"/>
      <c r="B311" s="17">
        <f>IF(A311="","",CHOOSE(WEEKDAY(A311,2),"Pzt","Sal","Çar","Per","Cum","Cmt","Paz"))</f>
        <v/>
      </c>
      <c r="C311" s="18" t="n"/>
      <c r="D311" s="17" t="n"/>
      <c r="E311" s="17" t="n"/>
      <c r="F311" s="17" t="n"/>
      <c r="G311" s="17" t="n"/>
      <c r="H311" s="19">
        <f>IF(OR(A311="",C311=""),"",IF(WEEKDAY(A311,2)&gt;=6,UcretHaftaSonu,IF(OR(C311&gt;=AksamBas,C311&lt;TIME(6,0,0)),UcretAksam,UcretGunduz)))</f>
        <v/>
      </c>
      <c r="I311" s="19" t="n"/>
      <c r="J311" s="17" t="n"/>
      <c r="K311" s="19">
        <f>IF(H311="","",IF(J311="Evet",0,H311-N(I311)))</f>
        <v/>
      </c>
      <c r="L311" s="17" t="n"/>
      <c r="M311" s="17" t="n"/>
      <c r="N311">
        <f>IF(OR(A311="",C311="",D311="",L311="İptal"),"",IFERROR(INT(A311)*100000+ROUND(C311*1440,0)*10+MATCH(D311,Sahalar,0),""))</f>
        <v/>
      </c>
    </row>
    <row r="312">
      <c r="A312" s="16" t="n"/>
      <c r="B312" s="17">
        <f>IF(A312="","",CHOOSE(WEEKDAY(A312,2),"Pzt","Sal","Çar","Per","Cum","Cmt","Paz"))</f>
        <v/>
      </c>
      <c r="C312" s="18" t="n"/>
      <c r="D312" s="17" t="n"/>
      <c r="E312" s="17" t="n"/>
      <c r="F312" s="17" t="n"/>
      <c r="G312" s="17" t="n"/>
      <c r="H312" s="19">
        <f>IF(OR(A312="",C312=""),"",IF(WEEKDAY(A312,2)&gt;=6,UcretHaftaSonu,IF(OR(C312&gt;=AksamBas,C312&lt;TIME(6,0,0)),UcretAksam,UcretGunduz)))</f>
        <v/>
      </c>
      <c r="I312" s="19" t="n"/>
      <c r="J312" s="17" t="n"/>
      <c r="K312" s="19">
        <f>IF(H312="","",IF(J312="Evet",0,H312-N(I312)))</f>
        <v/>
      </c>
      <c r="L312" s="17" t="n"/>
      <c r="M312" s="17" t="n"/>
      <c r="N312">
        <f>IF(OR(A312="",C312="",D312="",L312="İptal"),"",IFERROR(INT(A312)*100000+ROUND(C312*1440,0)*10+MATCH(D312,Sahalar,0),""))</f>
        <v/>
      </c>
    </row>
    <row r="313">
      <c r="A313" s="16" t="n"/>
      <c r="B313" s="17">
        <f>IF(A313="","",CHOOSE(WEEKDAY(A313,2),"Pzt","Sal","Çar","Per","Cum","Cmt","Paz"))</f>
        <v/>
      </c>
      <c r="C313" s="18" t="n"/>
      <c r="D313" s="17" t="n"/>
      <c r="E313" s="17" t="n"/>
      <c r="F313" s="17" t="n"/>
      <c r="G313" s="17" t="n"/>
      <c r="H313" s="19">
        <f>IF(OR(A313="",C313=""),"",IF(WEEKDAY(A313,2)&gt;=6,UcretHaftaSonu,IF(OR(C313&gt;=AksamBas,C313&lt;TIME(6,0,0)),UcretAksam,UcretGunduz)))</f>
        <v/>
      </c>
      <c r="I313" s="19" t="n"/>
      <c r="J313" s="17" t="n"/>
      <c r="K313" s="19">
        <f>IF(H313="","",IF(J313="Evet",0,H313-N(I313)))</f>
        <v/>
      </c>
      <c r="L313" s="17" t="n"/>
      <c r="M313" s="17" t="n"/>
      <c r="N313">
        <f>IF(OR(A313="",C313="",D313="",L313="İptal"),"",IFERROR(INT(A313)*100000+ROUND(C313*1440,0)*10+MATCH(D313,Sahalar,0),""))</f>
        <v/>
      </c>
    </row>
    <row r="314">
      <c r="A314" s="16" t="n"/>
      <c r="B314" s="17">
        <f>IF(A314="","",CHOOSE(WEEKDAY(A314,2),"Pzt","Sal","Çar","Per","Cum","Cmt","Paz"))</f>
        <v/>
      </c>
      <c r="C314" s="18" t="n"/>
      <c r="D314" s="17" t="n"/>
      <c r="E314" s="17" t="n"/>
      <c r="F314" s="17" t="n"/>
      <c r="G314" s="17" t="n"/>
      <c r="H314" s="19">
        <f>IF(OR(A314="",C314=""),"",IF(WEEKDAY(A314,2)&gt;=6,UcretHaftaSonu,IF(OR(C314&gt;=AksamBas,C314&lt;TIME(6,0,0)),UcretAksam,UcretGunduz)))</f>
        <v/>
      </c>
      <c r="I314" s="19" t="n"/>
      <c r="J314" s="17" t="n"/>
      <c r="K314" s="19">
        <f>IF(H314="","",IF(J314="Evet",0,H314-N(I314)))</f>
        <v/>
      </c>
      <c r="L314" s="17" t="n"/>
      <c r="M314" s="17" t="n"/>
      <c r="N314">
        <f>IF(OR(A314="",C314="",D314="",L314="İptal"),"",IFERROR(INT(A314)*100000+ROUND(C314*1440,0)*10+MATCH(D314,Sahalar,0),""))</f>
        <v/>
      </c>
    </row>
    <row r="315">
      <c r="A315" s="16" t="n"/>
      <c r="B315" s="17">
        <f>IF(A315="","",CHOOSE(WEEKDAY(A315,2),"Pzt","Sal","Çar","Per","Cum","Cmt","Paz"))</f>
        <v/>
      </c>
      <c r="C315" s="18" t="n"/>
      <c r="D315" s="17" t="n"/>
      <c r="E315" s="17" t="n"/>
      <c r="F315" s="17" t="n"/>
      <c r="G315" s="17" t="n"/>
      <c r="H315" s="19">
        <f>IF(OR(A315="",C315=""),"",IF(WEEKDAY(A315,2)&gt;=6,UcretHaftaSonu,IF(OR(C315&gt;=AksamBas,C315&lt;TIME(6,0,0)),UcretAksam,UcretGunduz)))</f>
        <v/>
      </c>
      <c r="I315" s="19" t="n"/>
      <c r="J315" s="17" t="n"/>
      <c r="K315" s="19">
        <f>IF(H315="","",IF(J315="Evet",0,H315-N(I315)))</f>
        <v/>
      </c>
      <c r="L315" s="17" t="n"/>
      <c r="M315" s="17" t="n"/>
      <c r="N315">
        <f>IF(OR(A315="",C315="",D315="",L315="İptal"),"",IFERROR(INT(A315)*100000+ROUND(C315*1440,0)*10+MATCH(D315,Sahalar,0),""))</f>
        <v/>
      </c>
    </row>
    <row r="316">
      <c r="A316" s="16" t="n"/>
      <c r="B316" s="17">
        <f>IF(A316="","",CHOOSE(WEEKDAY(A316,2),"Pzt","Sal","Çar","Per","Cum","Cmt","Paz"))</f>
        <v/>
      </c>
      <c r="C316" s="18" t="n"/>
      <c r="D316" s="17" t="n"/>
      <c r="E316" s="17" t="n"/>
      <c r="F316" s="17" t="n"/>
      <c r="G316" s="17" t="n"/>
      <c r="H316" s="19">
        <f>IF(OR(A316="",C316=""),"",IF(WEEKDAY(A316,2)&gt;=6,UcretHaftaSonu,IF(OR(C316&gt;=AksamBas,C316&lt;TIME(6,0,0)),UcretAksam,UcretGunduz)))</f>
        <v/>
      </c>
      <c r="I316" s="19" t="n"/>
      <c r="J316" s="17" t="n"/>
      <c r="K316" s="19">
        <f>IF(H316="","",IF(J316="Evet",0,H316-N(I316)))</f>
        <v/>
      </c>
      <c r="L316" s="17" t="n"/>
      <c r="M316" s="17" t="n"/>
      <c r="N316">
        <f>IF(OR(A316="",C316="",D316="",L316="İptal"),"",IFERROR(INT(A316)*100000+ROUND(C316*1440,0)*10+MATCH(D316,Sahalar,0),""))</f>
        <v/>
      </c>
    </row>
    <row r="317">
      <c r="A317" s="16" t="n"/>
      <c r="B317" s="17">
        <f>IF(A317="","",CHOOSE(WEEKDAY(A317,2),"Pzt","Sal","Çar","Per","Cum","Cmt","Paz"))</f>
        <v/>
      </c>
      <c r="C317" s="18" t="n"/>
      <c r="D317" s="17" t="n"/>
      <c r="E317" s="17" t="n"/>
      <c r="F317" s="17" t="n"/>
      <c r="G317" s="17" t="n"/>
      <c r="H317" s="19">
        <f>IF(OR(A317="",C317=""),"",IF(WEEKDAY(A317,2)&gt;=6,UcretHaftaSonu,IF(OR(C317&gt;=AksamBas,C317&lt;TIME(6,0,0)),UcretAksam,UcretGunduz)))</f>
        <v/>
      </c>
      <c r="I317" s="19" t="n"/>
      <c r="J317" s="17" t="n"/>
      <c r="K317" s="19">
        <f>IF(H317="","",IF(J317="Evet",0,H317-N(I317)))</f>
        <v/>
      </c>
      <c r="L317" s="17" t="n"/>
      <c r="M317" s="17" t="n"/>
      <c r="N317">
        <f>IF(OR(A317="",C317="",D317="",L317="İptal"),"",IFERROR(INT(A317)*100000+ROUND(C317*1440,0)*10+MATCH(D317,Sahalar,0),""))</f>
        <v/>
      </c>
    </row>
    <row r="318">
      <c r="A318" s="16" t="n"/>
      <c r="B318" s="17">
        <f>IF(A318="","",CHOOSE(WEEKDAY(A318,2),"Pzt","Sal","Çar","Per","Cum","Cmt","Paz"))</f>
        <v/>
      </c>
      <c r="C318" s="18" t="n"/>
      <c r="D318" s="17" t="n"/>
      <c r="E318" s="17" t="n"/>
      <c r="F318" s="17" t="n"/>
      <c r="G318" s="17" t="n"/>
      <c r="H318" s="19">
        <f>IF(OR(A318="",C318=""),"",IF(WEEKDAY(A318,2)&gt;=6,UcretHaftaSonu,IF(OR(C318&gt;=AksamBas,C318&lt;TIME(6,0,0)),UcretAksam,UcretGunduz)))</f>
        <v/>
      </c>
      <c r="I318" s="19" t="n"/>
      <c r="J318" s="17" t="n"/>
      <c r="K318" s="19">
        <f>IF(H318="","",IF(J318="Evet",0,H318-N(I318)))</f>
        <v/>
      </c>
      <c r="L318" s="17" t="n"/>
      <c r="M318" s="17" t="n"/>
      <c r="N318">
        <f>IF(OR(A318="",C318="",D318="",L318="İptal"),"",IFERROR(INT(A318)*100000+ROUND(C318*1440,0)*10+MATCH(D318,Sahalar,0),""))</f>
        <v/>
      </c>
    </row>
    <row r="319">
      <c r="A319" s="16" t="n"/>
      <c r="B319" s="17">
        <f>IF(A319="","",CHOOSE(WEEKDAY(A319,2),"Pzt","Sal","Çar","Per","Cum","Cmt","Paz"))</f>
        <v/>
      </c>
      <c r="C319" s="18" t="n"/>
      <c r="D319" s="17" t="n"/>
      <c r="E319" s="17" t="n"/>
      <c r="F319" s="17" t="n"/>
      <c r="G319" s="17" t="n"/>
      <c r="H319" s="19">
        <f>IF(OR(A319="",C319=""),"",IF(WEEKDAY(A319,2)&gt;=6,UcretHaftaSonu,IF(OR(C319&gt;=AksamBas,C319&lt;TIME(6,0,0)),UcretAksam,UcretGunduz)))</f>
        <v/>
      </c>
      <c r="I319" s="19" t="n"/>
      <c r="J319" s="17" t="n"/>
      <c r="K319" s="19">
        <f>IF(H319="","",IF(J319="Evet",0,H319-N(I319)))</f>
        <v/>
      </c>
      <c r="L319" s="17" t="n"/>
      <c r="M319" s="17" t="n"/>
      <c r="N319">
        <f>IF(OR(A319="",C319="",D319="",L319="İptal"),"",IFERROR(INT(A319)*100000+ROUND(C319*1440,0)*10+MATCH(D319,Sahalar,0),""))</f>
        <v/>
      </c>
    </row>
    <row r="320">
      <c r="A320" s="16" t="n"/>
      <c r="B320" s="17">
        <f>IF(A320="","",CHOOSE(WEEKDAY(A320,2),"Pzt","Sal","Çar","Per","Cum","Cmt","Paz"))</f>
        <v/>
      </c>
      <c r="C320" s="18" t="n"/>
      <c r="D320" s="17" t="n"/>
      <c r="E320" s="17" t="n"/>
      <c r="F320" s="17" t="n"/>
      <c r="G320" s="17" t="n"/>
      <c r="H320" s="19">
        <f>IF(OR(A320="",C320=""),"",IF(WEEKDAY(A320,2)&gt;=6,UcretHaftaSonu,IF(OR(C320&gt;=AksamBas,C320&lt;TIME(6,0,0)),UcretAksam,UcretGunduz)))</f>
        <v/>
      </c>
      <c r="I320" s="19" t="n"/>
      <c r="J320" s="17" t="n"/>
      <c r="K320" s="19">
        <f>IF(H320="","",IF(J320="Evet",0,H320-N(I320)))</f>
        <v/>
      </c>
      <c r="L320" s="17" t="n"/>
      <c r="M320" s="17" t="n"/>
      <c r="N320">
        <f>IF(OR(A320="",C320="",D320="",L320="İptal"),"",IFERROR(INT(A320)*100000+ROUND(C320*1440,0)*10+MATCH(D320,Sahalar,0),""))</f>
        <v/>
      </c>
    </row>
    <row r="321">
      <c r="A321" s="16" t="n"/>
      <c r="B321" s="17">
        <f>IF(A321="","",CHOOSE(WEEKDAY(A321,2),"Pzt","Sal","Çar","Per","Cum","Cmt","Paz"))</f>
        <v/>
      </c>
      <c r="C321" s="18" t="n"/>
      <c r="D321" s="17" t="n"/>
      <c r="E321" s="17" t="n"/>
      <c r="F321" s="17" t="n"/>
      <c r="G321" s="17" t="n"/>
      <c r="H321" s="19">
        <f>IF(OR(A321="",C321=""),"",IF(WEEKDAY(A321,2)&gt;=6,UcretHaftaSonu,IF(OR(C321&gt;=AksamBas,C321&lt;TIME(6,0,0)),UcretAksam,UcretGunduz)))</f>
        <v/>
      </c>
      <c r="I321" s="19" t="n"/>
      <c r="J321" s="17" t="n"/>
      <c r="K321" s="19">
        <f>IF(H321="","",IF(J321="Evet",0,H321-N(I321)))</f>
        <v/>
      </c>
      <c r="L321" s="17" t="n"/>
      <c r="M321" s="17" t="n"/>
      <c r="N321">
        <f>IF(OR(A321="",C321="",D321="",L321="İptal"),"",IFERROR(INT(A321)*100000+ROUND(C321*1440,0)*10+MATCH(D321,Sahalar,0),""))</f>
        <v/>
      </c>
    </row>
    <row r="322">
      <c r="A322" s="16" t="n"/>
      <c r="B322" s="17">
        <f>IF(A322="","",CHOOSE(WEEKDAY(A322,2),"Pzt","Sal","Çar","Per","Cum","Cmt","Paz"))</f>
        <v/>
      </c>
      <c r="C322" s="18" t="n"/>
      <c r="D322" s="17" t="n"/>
      <c r="E322" s="17" t="n"/>
      <c r="F322" s="17" t="n"/>
      <c r="G322" s="17" t="n"/>
      <c r="H322" s="19">
        <f>IF(OR(A322="",C322=""),"",IF(WEEKDAY(A322,2)&gt;=6,UcretHaftaSonu,IF(OR(C322&gt;=AksamBas,C322&lt;TIME(6,0,0)),UcretAksam,UcretGunduz)))</f>
        <v/>
      </c>
      <c r="I322" s="19" t="n"/>
      <c r="J322" s="17" t="n"/>
      <c r="K322" s="19">
        <f>IF(H322="","",IF(J322="Evet",0,H322-N(I322)))</f>
        <v/>
      </c>
      <c r="L322" s="17" t="n"/>
      <c r="M322" s="17" t="n"/>
      <c r="N322">
        <f>IF(OR(A322="",C322="",D322="",L322="İptal"),"",IFERROR(INT(A322)*100000+ROUND(C322*1440,0)*10+MATCH(D322,Sahalar,0),""))</f>
        <v/>
      </c>
    </row>
    <row r="323">
      <c r="A323" s="16" t="n"/>
      <c r="B323" s="17">
        <f>IF(A323="","",CHOOSE(WEEKDAY(A323,2),"Pzt","Sal","Çar","Per","Cum","Cmt","Paz"))</f>
        <v/>
      </c>
      <c r="C323" s="18" t="n"/>
      <c r="D323" s="17" t="n"/>
      <c r="E323" s="17" t="n"/>
      <c r="F323" s="17" t="n"/>
      <c r="G323" s="17" t="n"/>
      <c r="H323" s="19">
        <f>IF(OR(A323="",C323=""),"",IF(WEEKDAY(A323,2)&gt;=6,UcretHaftaSonu,IF(OR(C323&gt;=AksamBas,C323&lt;TIME(6,0,0)),UcretAksam,UcretGunduz)))</f>
        <v/>
      </c>
      <c r="I323" s="19" t="n"/>
      <c r="J323" s="17" t="n"/>
      <c r="K323" s="19">
        <f>IF(H323="","",IF(J323="Evet",0,H323-N(I323)))</f>
        <v/>
      </c>
      <c r="L323" s="17" t="n"/>
      <c r="M323" s="17" t="n"/>
      <c r="N323">
        <f>IF(OR(A323="",C323="",D323="",L323="İptal"),"",IFERROR(INT(A323)*100000+ROUND(C323*1440,0)*10+MATCH(D323,Sahalar,0),""))</f>
        <v/>
      </c>
    </row>
    <row r="324">
      <c r="A324" s="16" t="n"/>
      <c r="B324" s="17">
        <f>IF(A324="","",CHOOSE(WEEKDAY(A324,2),"Pzt","Sal","Çar","Per","Cum","Cmt","Paz"))</f>
        <v/>
      </c>
      <c r="C324" s="18" t="n"/>
      <c r="D324" s="17" t="n"/>
      <c r="E324" s="17" t="n"/>
      <c r="F324" s="17" t="n"/>
      <c r="G324" s="17" t="n"/>
      <c r="H324" s="19">
        <f>IF(OR(A324="",C324=""),"",IF(WEEKDAY(A324,2)&gt;=6,UcretHaftaSonu,IF(OR(C324&gt;=AksamBas,C324&lt;TIME(6,0,0)),UcretAksam,UcretGunduz)))</f>
        <v/>
      </c>
      <c r="I324" s="19" t="n"/>
      <c r="J324" s="17" t="n"/>
      <c r="K324" s="19">
        <f>IF(H324="","",IF(J324="Evet",0,H324-N(I324)))</f>
        <v/>
      </c>
      <c r="L324" s="17" t="n"/>
      <c r="M324" s="17" t="n"/>
      <c r="N324">
        <f>IF(OR(A324="",C324="",D324="",L324="İptal"),"",IFERROR(INT(A324)*100000+ROUND(C324*1440,0)*10+MATCH(D324,Sahalar,0),""))</f>
        <v/>
      </c>
    </row>
    <row r="325">
      <c r="A325" s="16" t="n"/>
      <c r="B325" s="17">
        <f>IF(A325="","",CHOOSE(WEEKDAY(A325,2),"Pzt","Sal","Çar","Per","Cum","Cmt","Paz"))</f>
        <v/>
      </c>
      <c r="C325" s="18" t="n"/>
      <c r="D325" s="17" t="n"/>
      <c r="E325" s="17" t="n"/>
      <c r="F325" s="17" t="n"/>
      <c r="G325" s="17" t="n"/>
      <c r="H325" s="19">
        <f>IF(OR(A325="",C325=""),"",IF(WEEKDAY(A325,2)&gt;=6,UcretHaftaSonu,IF(OR(C325&gt;=AksamBas,C325&lt;TIME(6,0,0)),UcretAksam,UcretGunduz)))</f>
        <v/>
      </c>
      <c r="I325" s="19" t="n"/>
      <c r="J325" s="17" t="n"/>
      <c r="K325" s="19">
        <f>IF(H325="","",IF(J325="Evet",0,H325-N(I325)))</f>
        <v/>
      </c>
      <c r="L325" s="17" t="n"/>
      <c r="M325" s="17" t="n"/>
      <c r="N325">
        <f>IF(OR(A325="",C325="",D325="",L325="İptal"),"",IFERROR(INT(A325)*100000+ROUND(C325*1440,0)*10+MATCH(D325,Sahalar,0),""))</f>
        <v/>
      </c>
    </row>
    <row r="326">
      <c r="A326" s="16" t="n"/>
      <c r="B326" s="17">
        <f>IF(A326="","",CHOOSE(WEEKDAY(A326,2),"Pzt","Sal","Çar","Per","Cum","Cmt","Paz"))</f>
        <v/>
      </c>
      <c r="C326" s="18" t="n"/>
      <c r="D326" s="17" t="n"/>
      <c r="E326" s="17" t="n"/>
      <c r="F326" s="17" t="n"/>
      <c r="G326" s="17" t="n"/>
      <c r="H326" s="19">
        <f>IF(OR(A326="",C326=""),"",IF(WEEKDAY(A326,2)&gt;=6,UcretHaftaSonu,IF(OR(C326&gt;=AksamBas,C326&lt;TIME(6,0,0)),UcretAksam,UcretGunduz)))</f>
        <v/>
      </c>
      <c r="I326" s="19" t="n"/>
      <c r="J326" s="17" t="n"/>
      <c r="K326" s="19">
        <f>IF(H326="","",IF(J326="Evet",0,H326-N(I326)))</f>
        <v/>
      </c>
      <c r="L326" s="17" t="n"/>
      <c r="M326" s="17" t="n"/>
      <c r="N326">
        <f>IF(OR(A326="",C326="",D326="",L326="İptal"),"",IFERROR(INT(A326)*100000+ROUND(C326*1440,0)*10+MATCH(D326,Sahalar,0),""))</f>
        <v/>
      </c>
    </row>
    <row r="327">
      <c r="A327" s="16" t="n"/>
      <c r="B327" s="17">
        <f>IF(A327="","",CHOOSE(WEEKDAY(A327,2),"Pzt","Sal","Çar","Per","Cum","Cmt","Paz"))</f>
        <v/>
      </c>
      <c r="C327" s="18" t="n"/>
      <c r="D327" s="17" t="n"/>
      <c r="E327" s="17" t="n"/>
      <c r="F327" s="17" t="n"/>
      <c r="G327" s="17" t="n"/>
      <c r="H327" s="19">
        <f>IF(OR(A327="",C327=""),"",IF(WEEKDAY(A327,2)&gt;=6,UcretHaftaSonu,IF(OR(C327&gt;=AksamBas,C327&lt;TIME(6,0,0)),UcretAksam,UcretGunduz)))</f>
        <v/>
      </c>
      <c r="I327" s="19" t="n"/>
      <c r="J327" s="17" t="n"/>
      <c r="K327" s="19">
        <f>IF(H327="","",IF(J327="Evet",0,H327-N(I327)))</f>
        <v/>
      </c>
      <c r="L327" s="17" t="n"/>
      <c r="M327" s="17" t="n"/>
      <c r="N327">
        <f>IF(OR(A327="",C327="",D327="",L327="İptal"),"",IFERROR(INT(A327)*100000+ROUND(C327*1440,0)*10+MATCH(D327,Sahalar,0),""))</f>
        <v/>
      </c>
    </row>
    <row r="328">
      <c r="A328" s="16" t="n"/>
      <c r="B328" s="17">
        <f>IF(A328="","",CHOOSE(WEEKDAY(A328,2),"Pzt","Sal","Çar","Per","Cum","Cmt","Paz"))</f>
        <v/>
      </c>
      <c r="C328" s="18" t="n"/>
      <c r="D328" s="17" t="n"/>
      <c r="E328" s="17" t="n"/>
      <c r="F328" s="17" t="n"/>
      <c r="G328" s="17" t="n"/>
      <c r="H328" s="19">
        <f>IF(OR(A328="",C328=""),"",IF(WEEKDAY(A328,2)&gt;=6,UcretHaftaSonu,IF(OR(C328&gt;=AksamBas,C328&lt;TIME(6,0,0)),UcretAksam,UcretGunduz)))</f>
        <v/>
      </c>
      <c r="I328" s="19" t="n"/>
      <c r="J328" s="17" t="n"/>
      <c r="K328" s="19">
        <f>IF(H328="","",IF(J328="Evet",0,H328-N(I328)))</f>
        <v/>
      </c>
      <c r="L328" s="17" t="n"/>
      <c r="M328" s="17" t="n"/>
      <c r="N328">
        <f>IF(OR(A328="",C328="",D328="",L328="İptal"),"",IFERROR(INT(A328)*100000+ROUND(C328*1440,0)*10+MATCH(D328,Sahalar,0),""))</f>
        <v/>
      </c>
    </row>
    <row r="329">
      <c r="A329" s="16" t="n"/>
      <c r="B329" s="17">
        <f>IF(A329="","",CHOOSE(WEEKDAY(A329,2),"Pzt","Sal","Çar","Per","Cum","Cmt","Paz"))</f>
        <v/>
      </c>
      <c r="C329" s="18" t="n"/>
      <c r="D329" s="17" t="n"/>
      <c r="E329" s="17" t="n"/>
      <c r="F329" s="17" t="n"/>
      <c r="G329" s="17" t="n"/>
      <c r="H329" s="19">
        <f>IF(OR(A329="",C329=""),"",IF(WEEKDAY(A329,2)&gt;=6,UcretHaftaSonu,IF(OR(C329&gt;=AksamBas,C329&lt;TIME(6,0,0)),UcretAksam,UcretGunduz)))</f>
        <v/>
      </c>
      <c r="I329" s="19" t="n"/>
      <c r="J329" s="17" t="n"/>
      <c r="K329" s="19">
        <f>IF(H329="","",IF(J329="Evet",0,H329-N(I329)))</f>
        <v/>
      </c>
      <c r="L329" s="17" t="n"/>
      <c r="M329" s="17" t="n"/>
      <c r="N329">
        <f>IF(OR(A329="",C329="",D329="",L329="İptal"),"",IFERROR(INT(A329)*100000+ROUND(C329*1440,0)*10+MATCH(D329,Sahalar,0),""))</f>
        <v/>
      </c>
    </row>
    <row r="330">
      <c r="A330" s="16" t="n"/>
      <c r="B330" s="17">
        <f>IF(A330="","",CHOOSE(WEEKDAY(A330,2),"Pzt","Sal","Çar","Per","Cum","Cmt","Paz"))</f>
        <v/>
      </c>
      <c r="C330" s="18" t="n"/>
      <c r="D330" s="17" t="n"/>
      <c r="E330" s="17" t="n"/>
      <c r="F330" s="17" t="n"/>
      <c r="G330" s="17" t="n"/>
      <c r="H330" s="19">
        <f>IF(OR(A330="",C330=""),"",IF(WEEKDAY(A330,2)&gt;=6,UcretHaftaSonu,IF(OR(C330&gt;=AksamBas,C330&lt;TIME(6,0,0)),UcretAksam,UcretGunduz)))</f>
        <v/>
      </c>
      <c r="I330" s="19" t="n"/>
      <c r="J330" s="17" t="n"/>
      <c r="K330" s="19">
        <f>IF(H330="","",IF(J330="Evet",0,H330-N(I330)))</f>
        <v/>
      </c>
      <c r="L330" s="17" t="n"/>
      <c r="M330" s="17" t="n"/>
      <c r="N330">
        <f>IF(OR(A330="",C330="",D330="",L330="İptal"),"",IFERROR(INT(A330)*100000+ROUND(C330*1440,0)*10+MATCH(D330,Sahalar,0),""))</f>
        <v/>
      </c>
    </row>
    <row r="331">
      <c r="A331" s="16" t="n"/>
      <c r="B331" s="17">
        <f>IF(A331="","",CHOOSE(WEEKDAY(A331,2),"Pzt","Sal","Çar","Per","Cum","Cmt","Paz"))</f>
        <v/>
      </c>
      <c r="C331" s="18" t="n"/>
      <c r="D331" s="17" t="n"/>
      <c r="E331" s="17" t="n"/>
      <c r="F331" s="17" t="n"/>
      <c r="G331" s="17" t="n"/>
      <c r="H331" s="19">
        <f>IF(OR(A331="",C331=""),"",IF(WEEKDAY(A331,2)&gt;=6,UcretHaftaSonu,IF(OR(C331&gt;=AksamBas,C331&lt;TIME(6,0,0)),UcretAksam,UcretGunduz)))</f>
        <v/>
      </c>
      <c r="I331" s="19" t="n"/>
      <c r="J331" s="17" t="n"/>
      <c r="K331" s="19">
        <f>IF(H331="","",IF(J331="Evet",0,H331-N(I331)))</f>
        <v/>
      </c>
      <c r="L331" s="17" t="n"/>
      <c r="M331" s="17" t="n"/>
      <c r="N331">
        <f>IF(OR(A331="",C331="",D331="",L331="İptal"),"",IFERROR(INT(A331)*100000+ROUND(C331*1440,0)*10+MATCH(D331,Sahalar,0),""))</f>
        <v/>
      </c>
    </row>
    <row r="332">
      <c r="A332" s="16" t="n"/>
      <c r="B332" s="17">
        <f>IF(A332="","",CHOOSE(WEEKDAY(A332,2),"Pzt","Sal","Çar","Per","Cum","Cmt","Paz"))</f>
        <v/>
      </c>
      <c r="C332" s="18" t="n"/>
      <c r="D332" s="17" t="n"/>
      <c r="E332" s="17" t="n"/>
      <c r="F332" s="17" t="n"/>
      <c r="G332" s="17" t="n"/>
      <c r="H332" s="19">
        <f>IF(OR(A332="",C332=""),"",IF(WEEKDAY(A332,2)&gt;=6,UcretHaftaSonu,IF(OR(C332&gt;=AksamBas,C332&lt;TIME(6,0,0)),UcretAksam,UcretGunduz)))</f>
        <v/>
      </c>
      <c r="I332" s="19" t="n"/>
      <c r="J332" s="17" t="n"/>
      <c r="K332" s="19">
        <f>IF(H332="","",IF(J332="Evet",0,H332-N(I332)))</f>
        <v/>
      </c>
      <c r="L332" s="17" t="n"/>
      <c r="M332" s="17" t="n"/>
      <c r="N332">
        <f>IF(OR(A332="",C332="",D332="",L332="İptal"),"",IFERROR(INT(A332)*100000+ROUND(C332*1440,0)*10+MATCH(D332,Sahalar,0),""))</f>
        <v/>
      </c>
    </row>
    <row r="333">
      <c r="A333" s="16" t="n"/>
      <c r="B333" s="17">
        <f>IF(A333="","",CHOOSE(WEEKDAY(A333,2),"Pzt","Sal","Çar","Per","Cum","Cmt","Paz"))</f>
        <v/>
      </c>
      <c r="C333" s="18" t="n"/>
      <c r="D333" s="17" t="n"/>
      <c r="E333" s="17" t="n"/>
      <c r="F333" s="17" t="n"/>
      <c r="G333" s="17" t="n"/>
      <c r="H333" s="19">
        <f>IF(OR(A333="",C333=""),"",IF(WEEKDAY(A333,2)&gt;=6,UcretHaftaSonu,IF(OR(C333&gt;=AksamBas,C333&lt;TIME(6,0,0)),UcretAksam,UcretGunduz)))</f>
        <v/>
      </c>
      <c r="I333" s="19" t="n"/>
      <c r="J333" s="17" t="n"/>
      <c r="K333" s="19">
        <f>IF(H333="","",IF(J333="Evet",0,H333-N(I333)))</f>
        <v/>
      </c>
      <c r="L333" s="17" t="n"/>
      <c r="M333" s="17" t="n"/>
      <c r="N333">
        <f>IF(OR(A333="",C333="",D333="",L333="İptal"),"",IFERROR(INT(A333)*100000+ROUND(C333*1440,0)*10+MATCH(D333,Sahalar,0),""))</f>
        <v/>
      </c>
    </row>
    <row r="334">
      <c r="A334" s="16" t="n"/>
      <c r="B334" s="17">
        <f>IF(A334="","",CHOOSE(WEEKDAY(A334,2),"Pzt","Sal","Çar","Per","Cum","Cmt","Paz"))</f>
        <v/>
      </c>
      <c r="C334" s="18" t="n"/>
      <c r="D334" s="17" t="n"/>
      <c r="E334" s="17" t="n"/>
      <c r="F334" s="17" t="n"/>
      <c r="G334" s="17" t="n"/>
      <c r="H334" s="19">
        <f>IF(OR(A334="",C334=""),"",IF(WEEKDAY(A334,2)&gt;=6,UcretHaftaSonu,IF(OR(C334&gt;=AksamBas,C334&lt;TIME(6,0,0)),UcretAksam,UcretGunduz)))</f>
        <v/>
      </c>
      <c r="I334" s="19" t="n"/>
      <c r="J334" s="17" t="n"/>
      <c r="K334" s="19">
        <f>IF(H334="","",IF(J334="Evet",0,H334-N(I334)))</f>
        <v/>
      </c>
      <c r="L334" s="17" t="n"/>
      <c r="M334" s="17" t="n"/>
      <c r="N334">
        <f>IF(OR(A334="",C334="",D334="",L334="İptal"),"",IFERROR(INT(A334)*100000+ROUND(C334*1440,0)*10+MATCH(D334,Sahalar,0),""))</f>
        <v/>
      </c>
    </row>
    <row r="335">
      <c r="A335" s="16" t="n"/>
      <c r="B335" s="17">
        <f>IF(A335="","",CHOOSE(WEEKDAY(A335,2),"Pzt","Sal","Çar","Per","Cum","Cmt","Paz"))</f>
        <v/>
      </c>
      <c r="C335" s="18" t="n"/>
      <c r="D335" s="17" t="n"/>
      <c r="E335" s="17" t="n"/>
      <c r="F335" s="17" t="n"/>
      <c r="G335" s="17" t="n"/>
      <c r="H335" s="19">
        <f>IF(OR(A335="",C335=""),"",IF(WEEKDAY(A335,2)&gt;=6,UcretHaftaSonu,IF(OR(C335&gt;=AksamBas,C335&lt;TIME(6,0,0)),UcretAksam,UcretGunduz)))</f>
        <v/>
      </c>
      <c r="I335" s="19" t="n"/>
      <c r="J335" s="17" t="n"/>
      <c r="K335" s="19">
        <f>IF(H335="","",IF(J335="Evet",0,H335-N(I335)))</f>
        <v/>
      </c>
      <c r="L335" s="17" t="n"/>
      <c r="M335" s="17" t="n"/>
      <c r="N335">
        <f>IF(OR(A335="",C335="",D335="",L335="İptal"),"",IFERROR(INT(A335)*100000+ROUND(C335*1440,0)*10+MATCH(D335,Sahalar,0),""))</f>
        <v/>
      </c>
    </row>
    <row r="336">
      <c r="A336" s="16" t="n"/>
      <c r="B336" s="17">
        <f>IF(A336="","",CHOOSE(WEEKDAY(A336,2),"Pzt","Sal","Çar","Per","Cum","Cmt","Paz"))</f>
        <v/>
      </c>
      <c r="C336" s="18" t="n"/>
      <c r="D336" s="17" t="n"/>
      <c r="E336" s="17" t="n"/>
      <c r="F336" s="17" t="n"/>
      <c r="G336" s="17" t="n"/>
      <c r="H336" s="19">
        <f>IF(OR(A336="",C336=""),"",IF(WEEKDAY(A336,2)&gt;=6,UcretHaftaSonu,IF(OR(C336&gt;=AksamBas,C336&lt;TIME(6,0,0)),UcretAksam,UcretGunduz)))</f>
        <v/>
      </c>
      <c r="I336" s="19" t="n"/>
      <c r="J336" s="17" t="n"/>
      <c r="K336" s="19">
        <f>IF(H336="","",IF(J336="Evet",0,H336-N(I336)))</f>
        <v/>
      </c>
      <c r="L336" s="17" t="n"/>
      <c r="M336" s="17" t="n"/>
      <c r="N336">
        <f>IF(OR(A336="",C336="",D336="",L336="İptal"),"",IFERROR(INT(A336)*100000+ROUND(C336*1440,0)*10+MATCH(D336,Sahalar,0),""))</f>
        <v/>
      </c>
    </row>
    <row r="337">
      <c r="A337" s="16" t="n"/>
      <c r="B337" s="17">
        <f>IF(A337="","",CHOOSE(WEEKDAY(A337,2),"Pzt","Sal","Çar","Per","Cum","Cmt","Paz"))</f>
        <v/>
      </c>
      <c r="C337" s="18" t="n"/>
      <c r="D337" s="17" t="n"/>
      <c r="E337" s="17" t="n"/>
      <c r="F337" s="17" t="n"/>
      <c r="G337" s="17" t="n"/>
      <c r="H337" s="19">
        <f>IF(OR(A337="",C337=""),"",IF(WEEKDAY(A337,2)&gt;=6,UcretHaftaSonu,IF(OR(C337&gt;=AksamBas,C337&lt;TIME(6,0,0)),UcretAksam,UcretGunduz)))</f>
        <v/>
      </c>
      <c r="I337" s="19" t="n"/>
      <c r="J337" s="17" t="n"/>
      <c r="K337" s="19">
        <f>IF(H337="","",IF(J337="Evet",0,H337-N(I337)))</f>
        <v/>
      </c>
      <c r="L337" s="17" t="n"/>
      <c r="M337" s="17" t="n"/>
      <c r="N337">
        <f>IF(OR(A337="",C337="",D337="",L337="İptal"),"",IFERROR(INT(A337)*100000+ROUND(C337*1440,0)*10+MATCH(D337,Sahalar,0),""))</f>
        <v/>
      </c>
    </row>
    <row r="338">
      <c r="A338" s="16" t="n"/>
      <c r="B338" s="17">
        <f>IF(A338="","",CHOOSE(WEEKDAY(A338,2),"Pzt","Sal","Çar","Per","Cum","Cmt","Paz"))</f>
        <v/>
      </c>
      <c r="C338" s="18" t="n"/>
      <c r="D338" s="17" t="n"/>
      <c r="E338" s="17" t="n"/>
      <c r="F338" s="17" t="n"/>
      <c r="G338" s="17" t="n"/>
      <c r="H338" s="19">
        <f>IF(OR(A338="",C338=""),"",IF(WEEKDAY(A338,2)&gt;=6,UcretHaftaSonu,IF(OR(C338&gt;=AksamBas,C338&lt;TIME(6,0,0)),UcretAksam,UcretGunduz)))</f>
        <v/>
      </c>
      <c r="I338" s="19" t="n"/>
      <c r="J338" s="17" t="n"/>
      <c r="K338" s="19">
        <f>IF(H338="","",IF(J338="Evet",0,H338-N(I338)))</f>
        <v/>
      </c>
      <c r="L338" s="17" t="n"/>
      <c r="M338" s="17" t="n"/>
      <c r="N338">
        <f>IF(OR(A338="",C338="",D338="",L338="İptal"),"",IFERROR(INT(A338)*100000+ROUND(C338*1440,0)*10+MATCH(D338,Sahalar,0),""))</f>
        <v/>
      </c>
    </row>
    <row r="339">
      <c r="A339" s="16" t="n"/>
      <c r="B339" s="17">
        <f>IF(A339="","",CHOOSE(WEEKDAY(A339,2),"Pzt","Sal","Çar","Per","Cum","Cmt","Paz"))</f>
        <v/>
      </c>
      <c r="C339" s="18" t="n"/>
      <c r="D339" s="17" t="n"/>
      <c r="E339" s="17" t="n"/>
      <c r="F339" s="17" t="n"/>
      <c r="G339" s="17" t="n"/>
      <c r="H339" s="19">
        <f>IF(OR(A339="",C339=""),"",IF(WEEKDAY(A339,2)&gt;=6,UcretHaftaSonu,IF(OR(C339&gt;=AksamBas,C339&lt;TIME(6,0,0)),UcretAksam,UcretGunduz)))</f>
        <v/>
      </c>
      <c r="I339" s="19" t="n"/>
      <c r="J339" s="17" t="n"/>
      <c r="K339" s="19">
        <f>IF(H339="","",IF(J339="Evet",0,H339-N(I339)))</f>
        <v/>
      </c>
      <c r="L339" s="17" t="n"/>
      <c r="M339" s="17" t="n"/>
      <c r="N339">
        <f>IF(OR(A339="",C339="",D339="",L339="İptal"),"",IFERROR(INT(A339)*100000+ROUND(C339*1440,0)*10+MATCH(D339,Sahalar,0),""))</f>
        <v/>
      </c>
    </row>
    <row r="340">
      <c r="A340" s="16" t="n"/>
      <c r="B340" s="17">
        <f>IF(A340="","",CHOOSE(WEEKDAY(A340,2),"Pzt","Sal","Çar","Per","Cum","Cmt","Paz"))</f>
        <v/>
      </c>
      <c r="C340" s="18" t="n"/>
      <c r="D340" s="17" t="n"/>
      <c r="E340" s="17" t="n"/>
      <c r="F340" s="17" t="n"/>
      <c r="G340" s="17" t="n"/>
      <c r="H340" s="19">
        <f>IF(OR(A340="",C340=""),"",IF(WEEKDAY(A340,2)&gt;=6,UcretHaftaSonu,IF(OR(C340&gt;=AksamBas,C340&lt;TIME(6,0,0)),UcretAksam,UcretGunduz)))</f>
        <v/>
      </c>
      <c r="I340" s="19" t="n"/>
      <c r="J340" s="17" t="n"/>
      <c r="K340" s="19">
        <f>IF(H340="","",IF(J340="Evet",0,H340-N(I340)))</f>
        <v/>
      </c>
      <c r="L340" s="17" t="n"/>
      <c r="M340" s="17" t="n"/>
      <c r="N340">
        <f>IF(OR(A340="",C340="",D340="",L340="İptal"),"",IFERROR(INT(A340)*100000+ROUND(C340*1440,0)*10+MATCH(D340,Sahalar,0),""))</f>
        <v/>
      </c>
    </row>
    <row r="341">
      <c r="A341" s="16" t="n"/>
      <c r="B341" s="17">
        <f>IF(A341="","",CHOOSE(WEEKDAY(A341,2),"Pzt","Sal","Çar","Per","Cum","Cmt","Paz"))</f>
        <v/>
      </c>
      <c r="C341" s="18" t="n"/>
      <c r="D341" s="17" t="n"/>
      <c r="E341" s="17" t="n"/>
      <c r="F341" s="17" t="n"/>
      <c r="G341" s="17" t="n"/>
      <c r="H341" s="19">
        <f>IF(OR(A341="",C341=""),"",IF(WEEKDAY(A341,2)&gt;=6,UcretHaftaSonu,IF(OR(C341&gt;=AksamBas,C341&lt;TIME(6,0,0)),UcretAksam,UcretGunduz)))</f>
        <v/>
      </c>
      <c r="I341" s="19" t="n"/>
      <c r="J341" s="17" t="n"/>
      <c r="K341" s="19">
        <f>IF(H341="","",IF(J341="Evet",0,H341-N(I341)))</f>
        <v/>
      </c>
      <c r="L341" s="17" t="n"/>
      <c r="M341" s="17" t="n"/>
      <c r="N341">
        <f>IF(OR(A341="",C341="",D341="",L341="İptal"),"",IFERROR(INT(A341)*100000+ROUND(C341*1440,0)*10+MATCH(D341,Sahalar,0),""))</f>
        <v/>
      </c>
    </row>
    <row r="342">
      <c r="A342" s="16" t="n"/>
      <c r="B342" s="17">
        <f>IF(A342="","",CHOOSE(WEEKDAY(A342,2),"Pzt","Sal","Çar","Per","Cum","Cmt","Paz"))</f>
        <v/>
      </c>
      <c r="C342" s="18" t="n"/>
      <c r="D342" s="17" t="n"/>
      <c r="E342" s="17" t="n"/>
      <c r="F342" s="17" t="n"/>
      <c r="G342" s="17" t="n"/>
      <c r="H342" s="19">
        <f>IF(OR(A342="",C342=""),"",IF(WEEKDAY(A342,2)&gt;=6,UcretHaftaSonu,IF(OR(C342&gt;=AksamBas,C342&lt;TIME(6,0,0)),UcretAksam,UcretGunduz)))</f>
        <v/>
      </c>
      <c r="I342" s="19" t="n"/>
      <c r="J342" s="17" t="n"/>
      <c r="K342" s="19">
        <f>IF(H342="","",IF(J342="Evet",0,H342-N(I342)))</f>
        <v/>
      </c>
      <c r="L342" s="17" t="n"/>
      <c r="M342" s="17" t="n"/>
      <c r="N342">
        <f>IF(OR(A342="",C342="",D342="",L342="İptal"),"",IFERROR(INT(A342)*100000+ROUND(C342*1440,0)*10+MATCH(D342,Sahalar,0),""))</f>
        <v/>
      </c>
    </row>
    <row r="343">
      <c r="A343" s="16" t="n"/>
      <c r="B343" s="17">
        <f>IF(A343="","",CHOOSE(WEEKDAY(A343,2),"Pzt","Sal","Çar","Per","Cum","Cmt","Paz"))</f>
        <v/>
      </c>
      <c r="C343" s="18" t="n"/>
      <c r="D343" s="17" t="n"/>
      <c r="E343" s="17" t="n"/>
      <c r="F343" s="17" t="n"/>
      <c r="G343" s="17" t="n"/>
      <c r="H343" s="19">
        <f>IF(OR(A343="",C343=""),"",IF(WEEKDAY(A343,2)&gt;=6,UcretHaftaSonu,IF(OR(C343&gt;=AksamBas,C343&lt;TIME(6,0,0)),UcretAksam,UcretGunduz)))</f>
        <v/>
      </c>
      <c r="I343" s="19" t="n"/>
      <c r="J343" s="17" t="n"/>
      <c r="K343" s="19">
        <f>IF(H343="","",IF(J343="Evet",0,H343-N(I343)))</f>
        <v/>
      </c>
      <c r="L343" s="17" t="n"/>
      <c r="M343" s="17" t="n"/>
      <c r="N343">
        <f>IF(OR(A343="",C343="",D343="",L343="İptal"),"",IFERROR(INT(A343)*100000+ROUND(C343*1440,0)*10+MATCH(D343,Sahalar,0),""))</f>
        <v/>
      </c>
    </row>
    <row r="344">
      <c r="A344" s="16" t="n"/>
      <c r="B344" s="17">
        <f>IF(A344="","",CHOOSE(WEEKDAY(A344,2),"Pzt","Sal","Çar","Per","Cum","Cmt","Paz"))</f>
        <v/>
      </c>
      <c r="C344" s="18" t="n"/>
      <c r="D344" s="17" t="n"/>
      <c r="E344" s="17" t="n"/>
      <c r="F344" s="17" t="n"/>
      <c r="G344" s="17" t="n"/>
      <c r="H344" s="19">
        <f>IF(OR(A344="",C344=""),"",IF(WEEKDAY(A344,2)&gt;=6,UcretHaftaSonu,IF(OR(C344&gt;=AksamBas,C344&lt;TIME(6,0,0)),UcretAksam,UcretGunduz)))</f>
        <v/>
      </c>
      <c r="I344" s="19" t="n"/>
      <c r="J344" s="17" t="n"/>
      <c r="K344" s="19">
        <f>IF(H344="","",IF(J344="Evet",0,H344-N(I344)))</f>
        <v/>
      </c>
      <c r="L344" s="17" t="n"/>
      <c r="M344" s="17" t="n"/>
      <c r="N344">
        <f>IF(OR(A344="",C344="",D344="",L344="İptal"),"",IFERROR(INT(A344)*100000+ROUND(C344*1440,0)*10+MATCH(D344,Sahalar,0),""))</f>
        <v/>
      </c>
    </row>
    <row r="345">
      <c r="A345" s="16" t="n"/>
      <c r="B345" s="17">
        <f>IF(A345="","",CHOOSE(WEEKDAY(A345,2),"Pzt","Sal","Çar","Per","Cum","Cmt","Paz"))</f>
        <v/>
      </c>
      <c r="C345" s="18" t="n"/>
      <c r="D345" s="17" t="n"/>
      <c r="E345" s="17" t="n"/>
      <c r="F345" s="17" t="n"/>
      <c r="G345" s="17" t="n"/>
      <c r="H345" s="19">
        <f>IF(OR(A345="",C345=""),"",IF(WEEKDAY(A345,2)&gt;=6,UcretHaftaSonu,IF(OR(C345&gt;=AksamBas,C345&lt;TIME(6,0,0)),UcretAksam,UcretGunduz)))</f>
        <v/>
      </c>
      <c r="I345" s="19" t="n"/>
      <c r="J345" s="17" t="n"/>
      <c r="K345" s="19">
        <f>IF(H345="","",IF(J345="Evet",0,H345-N(I345)))</f>
        <v/>
      </c>
      <c r="L345" s="17" t="n"/>
      <c r="M345" s="17" t="n"/>
      <c r="N345">
        <f>IF(OR(A345="",C345="",D345="",L345="İptal"),"",IFERROR(INT(A345)*100000+ROUND(C345*1440,0)*10+MATCH(D345,Sahalar,0),""))</f>
        <v/>
      </c>
    </row>
    <row r="346">
      <c r="A346" s="16" t="n"/>
      <c r="B346" s="17">
        <f>IF(A346="","",CHOOSE(WEEKDAY(A346,2),"Pzt","Sal","Çar","Per","Cum","Cmt","Paz"))</f>
        <v/>
      </c>
      <c r="C346" s="18" t="n"/>
      <c r="D346" s="17" t="n"/>
      <c r="E346" s="17" t="n"/>
      <c r="F346" s="17" t="n"/>
      <c r="G346" s="17" t="n"/>
      <c r="H346" s="19">
        <f>IF(OR(A346="",C346=""),"",IF(WEEKDAY(A346,2)&gt;=6,UcretHaftaSonu,IF(OR(C346&gt;=AksamBas,C346&lt;TIME(6,0,0)),UcretAksam,UcretGunduz)))</f>
        <v/>
      </c>
      <c r="I346" s="19" t="n"/>
      <c r="J346" s="17" t="n"/>
      <c r="K346" s="19">
        <f>IF(H346="","",IF(J346="Evet",0,H346-N(I346)))</f>
        <v/>
      </c>
      <c r="L346" s="17" t="n"/>
      <c r="M346" s="17" t="n"/>
      <c r="N346">
        <f>IF(OR(A346="",C346="",D346="",L346="İptal"),"",IFERROR(INT(A346)*100000+ROUND(C346*1440,0)*10+MATCH(D346,Sahalar,0),""))</f>
        <v/>
      </c>
    </row>
    <row r="347">
      <c r="A347" s="16" t="n"/>
      <c r="B347" s="17">
        <f>IF(A347="","",CHOOSE(WEEKDAY(A347,2),"Pzt","Sal","Çar","Per","Cum","Cmt","Paz"))</f>
        <v/>
      </c>
      <c r="C347" s="18" t="n"/>
      <c r="D347" s="17" t="n"/>
      <c r="E347" s="17" t="n"/>
      <c r="F347" s="17" t="n"/>
      <c r="G347" s="17" t="n"/>
      <c r="H347" s="19">
        <f>IF(OR(A347="",C347=""),"",IF(WEEKDAY(A347,2)&gt;=6,UcretHaftaSonu,IF(OR(C347&gt;=AksamBas,C347&lt;TIME(6,0,0)),UcretAksam,UcretGunduz)))</f>
        <v/>
      </c>
      <c r="I347" s="19" t="n"/>
      <c r="J347" s="17" t="n"/>
      <c r="K347" s="19">
        <f>IF(H347="","",IF(J347="Evet",0,H347-N(I347)))</f>
        <v/>
      </c>
      <c r="L347" s="17" t="n"/>
      <c r="M347" s="17" t="n"/>
      <c r="N347">
        <f>IF(OR(A347="",C347="",D347="",L347="İptal"),"",IFERROR(INT(A347)*100000+ROUND(C347*1440,0)*10+MATCH(D347,Sahalar,0),""))</f>
        <v/>
      </c>
    </row>
    <row r="348">
      <c r="A348" s="16" t="n"/>
      <c r="B348" s="17">
        <f>IF(A348="","",CHOOSE(WEEKDAY(A348,2),"Pzt","Sal","Çar","Per","Cum","Cmt","Paz"))</f>
        <v/>
      </c>
      <c r="C348" s="18" t="n"/>
      <c r="D348" s="17" t="n"/>
      <c r="E348" s="17" t="n"/>
      <c r="F348" s="17" t="n"/>
      <c r="G348" s="17" t="n"/>
      <c r="H348" s="19">
        <f>IF(OR(A348="",C348=""),"",IF(WEEKDAY(A348,2)&gt;=6,UcretHaftaSonu,IF(OR(C348&gt;=AksamBas,C348&lt;TIME(6,0,0)),UcretAksam,UcretGunduz)))</f>
        <v/>
      </c>
      <c r="I348" s="19" t="n"/>
      <c r="J348" s="17" t="n"/>
      <c r="K348" s="19">
        <f>IF(H348="","",IF(J348="Evet",0,H348-N(I348)))</f>
        <v/>
      </c>
      <c r="L348" s="17" t="n"/>
      <c r="M348" s="17" t="n"/>
      <c r="N348">
        <f>IF(OR(A348="",C348="",D348="",L348="İptal"),"",IFERROR(INT(A348)*100000+ROUND(C348*1440,0)*10+MATCH(D348,Sahalar,0),""))</f>
        <v/>
      </c>
    </row>
    <row r="349">
      <c r="A349" s="16" t="n"/>
      <c r="B349" s="17">
        <f>IF(A349="","",CHOOSE(WEEKDAY(A349,2),"Pzt","Sal","Çar","Per","Cum","Cmt","Paz"))</f>
        <v/>
      </c>
      <c r="C349" s="18" t="n"/>
      <c r="D349" s="17" t="n"/>
      <c r="E349" s="17" t="n"/>
      <c r="F349" s="17" t="n"/>
      <c r="G349" s="17" t="n"/>
      <c r="H349" s="19">
        <f>IF(OR(A349="",C349=""),"",IF(WEEKDAY(A349,2)&gt;=6,UcretHaftaSonu,IF(OR(C349&gt;=AksamBas,C349&lt;TIME(6,0,0)),UcretAksam,UcretGunduz)))</f>
        <v/>
      </c>
      <c r="I349" s="19" t="n"/>
      <c r="J349" s="17" t="n"/>
      <c r="K349" s="19">
        <f>IF(H349="","",IF(J349="Evet",0,H349-N(I349)))</f>
        <v/>
      </c>
      <c r="L349" s="17" t="n"/>
      <c r="M349" s="17" t="n"/>
      <c r="N349">
        <f>IF(OR(A349="",C349="",D349="",L349="İptal"),"",IFERROR(INT(A349)*100000+ROUND(C349*1440,0)*10+MATCH(D349,Sahalar,0),""))</f>
        <v/>
      </c>
    </row>
    <row r="350">
      <c r="A350" s="16" t="n"/>
      <c r="B350" s="17">
        <f>IF(A350="","",CHOOSE(WEEKDAY(A350,2),"Pzt","Sal","Çar","Per","Cum","Cmt","Paz"))</f>
        <v/>
      </c>
      <c r="C350" s="18" t="n"/>
      <c r="D350" s="17" t="n"/>
      <c r="E350" s="17" t="n"/>
      <c r="F350" s="17" t="n"/>
      <c r="G350" s="17" t="n"/>
      <c r="H350" s="19">
        <f>IF(OR(A350="",C350=""),"",IF(WEEKDAY(A350,2)&gt;=6,UcretHaftaSonu,IF(OR(C350&gt;=AksamBas,C350&lt;TIME(6,0,0)),UcretAksam,UcretGunduz)))</f>
        <v/>
      </c>
      <c r="I350" s="19" t="n"/>
      <c r="J350" s="17" t="n"/>
      <c r="K350" s="19">
        <f>IF(H350="","",IF(J350="Evet",0,H350-N(I350)))</f>
        <v/>
      </c>
      <c r="L350" s="17" t="n"/>
      <c r="M350" s="17" t="n"/>
      <c r="N350">
        <f>IF(OR(A350="",C350="",D350="",L350="İptal"),"",IFERROR(INT(A350)*100000+ROUND(C350*1440,0)*10+MATCH(D350,Sahalar,0),""))</f>
        <v/>
      </c>
    </row>
    <row r="351">
      <c r="A351" s="16" t="n"/>
      <c r="B351" s="17">
        <f>IF(A351="","",CHOOSE(WEEKDAY(A351,2),"Pzt","Sal","Çar","Per","Cum","Cmt","Paz"))</f>
        <v/>
      </c>
      <c r="C351" s="18" t="n"/>
      <c r="D351" s="17" t="n"/>
      <c r="E351" s="17" t="n"/>
      <c r="F351" s="17" t="n"/>
      <c r="G351" s="17" t="n"/>
      <c r="H351" s="19">
        <f>IF(OR(A351="",C351=""),"",IF(WEEKDAY(A351,2)&gt;=6,UcretHaftaSonu,IF(OR(C351&gt;=AksamBas,C351&lt;TIME(6,0,0)),UcretAksam,UcretGunduz)))</f>
        <v/>
      </c>
      <c r="I351" s="19" t="n"/>
      <c r="J351" s="17" t="n"/>
      <c r="K351" s="19">
        <f>IF(H351="","",IF(J351="Evet",0,H351-N(I351)))</f>
        <v/>
      </c>
      <c r="L351" s="17" t="n"/>
      <c r="M351" s="17" t="n"/>
      <c r="N351">
        <f>IF(OR(A351="",C351="",D351="",L351="İptal"),"",IFERROR(INT(A351)*100000+ROUND(C351*1440,0)*10+MATCH(D351,Sahalar,0),""))</f>
        <v/>
      </c>
    </row>
    <row r="352">
      <c r="A352" s="16" t="n"/>
      <c r="B352" s="17">
        <f>IF(A352="","",CHOOSE(WEEKDAY(A352,2),"Pzt","Sal","Çar","Per","Cum","Cmt","Paz"))</f>
        <v/>
      </c>
      <c r="C352" s="18" t="n"/>
      <c r="D352" s="17" t="n"/>
      <c r="E352" s="17" t="n"/>
      <c r="F352" s="17" t="n"/>
      <c r="G352" s="17" t="n"/>
      <c r="H352" s="19">
        <f>IF(OR(A352="",C352=""),"",IF(WEEKDAY(A352,2)&gt;=6,UcretHaftaSonu,IF(OR(C352&gt;=AksamBas,C352&lt;TIME(6,0,0)),UcretAksam,UcretGunduz)))</f>
        <v/>
      </c>
      <c r="I352" s="19" t="n"/>
      <c r="J352" s="17" t="n"/>
      <c r="K352" s="19">
        <f>IF(H352="","",IF(J352="Evet",0,H352-N(I352)))</f>
        <v/>
      </c>
      <c r="L352" s="17" t="n"/>
      <c r="M352" s="17" t="n"/>
      <c r="N352">
        <f>IF(OR(A352="",C352="",D352="",L352="İptal"),"",IFERROR(INT(A352)*100000+ROUND(C352*1440,0)*10+MATCH(D352,Sahalar,0),""))</f>
        <v/>
      </c>
    </row>
    <row r="353">
      <c r="A353" s="16" t="n"/>
      <c r="B353" s="17">
        <f>IF(A353="","",CHOOSE(WEEKDAY(A353,2),"Pzt","Sal","Çar","Per","Cum","Cmt","Paz"))</f>
        <v/>
      </c>
      <c r="C353" s="18" t="n"/>
      <c r="D353" s="17" t="n"/>
      <c r="E353" s="17" t="n"/>
      <c r="F353" s="17" t="n"/>
      <c r="G353" s="17" t="n"/>
      <c r="H353" s="19">
        <f>IF(OR(A353="",C353=""),"",IF(WEEKDAY(A353,2)&gt;=6,UcretHaftaSonu,IF(OR(C353&gt;=AksamBas,C353&lt;TIME(6,0,0)),UcretAksam,UcretGunduz)))</f>
        <v/>
      </c>
      <c r="I353" s="19" t="n"/>
      <c r="J353" s="17" t="n"/>
      <c r="K353" s="19">
        <f>IF(H353="","",IF(J353="Evet",0,H353-N(I353)))</f>
        <v/>
      </c>
      <c r="L353" s="17" t="n"/>
      <c r="M353" s="17" t="n"/>
      <c r="N353">
        <f>IF(OR(A353="",C353="",D353="",L353="İptal"),"",IFERROR(INT(A353)*100000+ROUND(C353*1440,0)*10+MATCH(D353,Sahalar,0),""))</f>
        <v/>
      </c>
    </row>
    <row r="354">
      <c r="A354" s="16" t="n"/>
      <c r="B354" s="17">
        <f>IF(A354="","",CHOOSE(WEEKDAY(A354,2),"Pzt","Sal","Çar","Per","Cum","Cmt","Paz"))</f>
        <v/>
      </c>
      <c r="C354" s="18" t="n"/>
      <c r="D354" s="17" t="n"/>
      <c r="E354" s="17" t="n"/>
      <c r="F354" s="17" t="n"/>
      <c r="G354" s="17" t="n"/>
      <c r="H354" s="19">
        <f>IF(OR(A354="",C354=""),"",IF(WEEKDAY(A354,2)&gt;=6,UcretHaftaSonu,IF(OR(C354&gt;=AksamBas,C354&lt;TIME(6,0,0)),UcretAksam,UcretGunduz)))</f>
        <v/>
      </c>
      <c r="I354" s="19" t="n"/>
      <c r="J354" s="17" t="n"/>
      <c r="K354" s="19">
        <f>IF(H354="","",IF(J354="Evet",0,H354-N(I354)))</f>
        <v/>
      </c>
      <c r="L354" s="17" t="n"/>
      <c r="M354" s="17" t="n"/>
      <c r="N354">
        <f>IF(OR(A354="",C354="",D354="",L354="İptal"),"",IFERROR(INT(A354)*100000+ROUND(C354*1440,0)*10+MATCH(D354,Sahalar,0),""))</f>
        <v/>
      </c>
    </row>
    <row r="355">
      <c r="A355" s="16" t="n"/>
      <c r="B355" s="17">
        <f>IF(A355="","",CHOOSE(WEEKDAY(A355,2),"Pzt","Sal","Çar","Per","Cum","Cmt","Paz"))</f>
        <v/>
      </c>
      <c r="C355" s="18" t="n"/>
      <c r="D355" s="17" t="n"/>
      <c r="E355" s="17" t="n"/>
      <c r="F355" s="17" t="n"/>
      <c r="G355" s="17" t="n"/>
      <c r="H355" s="19">
        <f>IF(OR(A355="",C355=""),"",IF(WEEKDAY(A355,2)&gt;=6,UcretHaftaSonu,IF(OR(C355&gt;=AksamBas,C355&lt;TIME(6,0,0)),UcretAksam,UcretGunduz)))</f>
        <v/>
      </c>
      <c r="I355" s="19" t="n"/>
      <c r="J355" s="17" t="n"/>
      <c r="K355" s="19">
        <f>IF(H355="","",IF(J355="Evet",0,H355-N(I355)))</f>
        <v/>
      </c>
      <c r="L355" s="17" t="n"/>
      <c r="M355" s="17" t="n"/>
      <c r="N355">
        <f>IF(OR(A355="",C355="",D355="",L355="İptal"),"",IFERROR(INT(A355)*100000+ROUND(C355*1440,0)*10+MATCH(D355,Sahalar,0),""))</f>
        <v/>
      </c>
    </row>
    <row r="356">
      <c r="A356" s="16" t="n"/>
      <c r="B356" s="17">
        <f>IF(A356="","",CHOOSE(WEEKDAY(A356,2),"Pzt","Sal","Çar","Per","Cum","Cmt","Paz"))</f>
        <v/>
      </c>
      <c r="C356" s="18" t="n"/>
      <c r="D356" s="17" t="n"/>
      <c r="E356" s="17" t="n"/>
      <c r="F356" s="17" t="n"/>
      <c r="G356" s="17" t="n"/>
      <c r="H356" s="19">
        <f>IF(OR(A356="",C356=""),"",IF(WEEKDAY(A356,2)&gt;=6,UcretHaftaSonu,IF(OR(C356&gt;=AksamBas,C356&lt;TIME(6,0,0)),UcretAksam,UcretGunduz)))</f>
        <v/>
      </c>
      <c r="I356" s="19" t="n"/>
      <c r="J356" s="17" t="n"/>
      <c r="K356" s="19">
        <f>IF(H356="","",IF(J356="Evet",0,H356-N(I356)))</f>
        <v/>
      </c>
      <c r="L356" s="17" t="n"/>
      <c r="M356" s="17" t="n"/>
      <c r="N356">
        <f>IF(OR(A356="",C356="",D356="",L356="İptal"),"",IFERROR(INT(A356)*100000+ROUND(C356*1440,0)*10+MATCH(D356,Sahalar,0),""))</f>
        <v/>
      </c>
    </row>
    <row r="357">
      <c r="A357" s="16" t="n"/>
      <c r="B357" s="17">
        <f>IF(A357="","",CHOOSE(WEEKDAY(A357,2),"Pzt","Sal","Çar","Per","Cum","Cmt","Paz"))</f>
        <v/>
      </c>
      <c r="C357" s="18" t="n"/>
      <c r="D357" s="17" t="n"/>
      <c r="E357" s="17" t="n"/>
      <c r="F357" s="17" t="n"/>
      <c r="G357" s="17" t="n"/>
      <c r="H357" s="19">
        <f>IF(OR(A357="",C357=""),"",IF(WEEKDAY(A357,2)&gt;=6,UcretHaftaSonu,IF(OR(C357&gt;=AksamBas,C357&lt;TIME(6,0,0)),UcretAksam,UcretGunduz)))</f>
        <v/>
      </c>
      <c r="I357" s="19" t="n"/>
      <c r="J357" s="17" t="n"/>
      <c r="K357" s="19">
        <f>IF(H357="","",IF(J357="Evet",0,H357-N(I357)))</f>
        <v/>
      </c>
      <c r="L357" s="17" t="n"/>
      <c r="M357" s="17" t="n"/>
      <c r="N357">
        <f>IF(OR(A357="",C357="",D357="",L357="İptal"),"",IFERROR(INT(A357)*100000+ROUND(C357*1440,0)*10+MATCH(D357,Sahalar,0),""))</f>
        <v/>
      </c>
    </row>
    <row r="358">
      <c r="A358" s="16" t="n"/>
      <c r="B358" s="17">
        <f>IF(A358="","",CHOOSE(WEEKDAY(A358,2),"Pzt","Sal","Çar","Per","Cum","Cmt","Paz"))</f>
        <v/>
      </c>
      <c r="C358" s="18" t="n"/>
      <c r="D358" s="17" t="n"/>
      <c r="E358" s="17" t="n"/>
      <c r="F358" s="17" t="n"/>
      <c r="G358" s="17" t="n"/>
      <c r="H358" s="19">
        <f>IF(OR(A358="",C358=""),"",IF(WEEKDAY(A358,2)&gt;=6,UcretHaftaSonu,IF(OR(C358&gt;=AksamBas,C358&lt;TIME(6,0,0)),UcretAksam,UcretGunduz)))</f>
        <v/>
      </c>
      <c r="I358" s="19" t="n"/>
      <c r="J358" s="17" t="n"/>
      <c r="K358" s="19">
        <f>IF(H358="","",IF(J358="Evet",0,H358-N(I358)))</f>
        <v/>
      </c>
      <c r="L358" s="17" t="n"/>
      <c r="M358" s="17" t="n"/>
      <c r="N358">
        <f>IF(OR(A358="",C358="",D358="",L358="İptal"),"",IFERROR(INT(A358)*100000+ROUND(C358*1440,0)*10+MATCH(D358,Sahalar,0),""))</f>
        <v/>
      </c>
    </row>
    <row r="359">
      <c r="A359" s="16" t="n"/>
      <c r="B359" s="17">
        <f>IF(A359="","",CHOOSE(WEEKDAY(A359,2),"Pzt","Sal","Çar","Per","Cum","Cmt","Paz"))</f>
        <v/>
      </c>
      <c r="C359" s="18" t="n"/>
      <c r="D359" s="17" t="n"/>
      <c r="E359" s="17" t="n"/>
      <c r="F359" s="17" t="n"/>
      <c r="G359" s="17" t="n"/>
      <c r="H359" s="19">
        <f>IF(OR(A359="",C359=""),"",IF(WEEKDAY(A359,2)&gt;=6,UcretHaftaSonu,IF(OR(C359&gt;=AksamBas,C359&lt;TIME(6,0,0)),UcretAksam,UcretGunduz)))</f>
        <v/>
      </c>
      <c r="I359" s="19" t="n"/>
      <c r="J359" s="17" t="n"/>
      <c r="K359" s="19">
        <f>IF(H359="","",IF(J359="Evet",0,H359-N(I359)))</f>
        <v/>
      </c>
      <c r="L359" s="17" t="n"/>
      <c r="M359" s="17" t="n"/>
      <c r="N359">
        <f>IF(OR(A359="",C359="",D359="",L359="İptal"),"",IFERROR(INT(A359)*100000+ROUND(C359*1440,0)*10+MATCH(D359,Sahalar,0),""))</f>
        <v/>
      </c>
    </row>
    <row r="360">
      <c r="A360" s="16" t="n"/>
      <c r="B360" s="17">
        <f>IF(A360="","",CHOOSE(WEEKDAY(A360,2),"Pzt","Sal","Çar","Per","Cum","Cmt","Paz"))</f>
        <v/>
      </c>
      <c r="C360" s="18" t="n"/>
      <c r="D360" s="17" t="n"/>
      <c r="E360" s="17" t="n"/>
      <c r="F360" s="17" t="n"/>
      <c r="G360" s="17" t="n"/>
      <c r="H360" s="19">
        <f>IF(OR(A360="",C360=""),"",IF(WEEKDAY(A360,2)&gt;=6,UcretHaftaSonu,IF(OR(C360&gt;=AksamBas,C360&lt;TIME(6,0,0)),UcretAksam,UcretGunduz)))</f>
        <v/>
      </c>
      <c r="I360" s="19" t="n"/>
      <c r="J360" s="17" t="n"/>
      <c r="K360" s="19">
        <f>IF(H360="","",IF(J360="Evet",0,H360-N(I360)))</f>
        <v/>
      </c>
      <c r="L360" s="17" t="n"/>
      <c r="M360" s="17" t="n"/>
      <c r="N360">
        <f>IF(OR(A360="",C360="",D360="",L360="İptal"),"",IFERROR(INT(A360)*100000+ROUND(C360*1440,0)*10+MATCH(D360,Sahalar,0),""))</f>
        <v/>
      </c>
    </row>
    <row r="361">
      <c r="A361" s="16" t="n"/>
      <c r="B361" s="17">
        <f>IF(A361="","",CHOOSE(WEEKDAY(A361,2),"Pzt","Sal","Çar","Per","Cum","Cmt","Paz"))</f>
        <v/>
      </c>
      <c r="C361" s="18" t="n"/>
      <c r="D361" s="17" t="n"/>
      <c r="E361" s="17" t="n"/>
      <c r="F361" s="17" t="n"/>
      <c r="G361" s="17" t="n"/>
      <c r="H361" s="19">
        <f>IF(OR(A361="",C361=""),"",IF(WEEKDAY(A361,2)&gt;=6,UcretHaftaSonu,IF(OR(C361&gt;=AksamBas,C361&lt;TIME(6,0,0)),UcretAksam,UcretGunduz)))</f>
        <v/>
      </c>
      <c r="I361" s="19" t="n"/>
      <c r="J361" s="17" t="n"/>
      <c r="K361" s="19">
        <f>IF(H361="","",IF(J361="Evet",0,H361-N(I361)))</f>
        <v/>
      </c>
      <c r="L361" s="17" t="n"/>
      <c r="M361" s="17" t="n"/>
      <c r="N361">
        <f>IF(OR(A361="",C361="",D361="",L361="İptal"),"",IFERROR(INT(A361)*100000+ROUND(C361*1440,0)*10+MATCH(D361,Sahalar,0),""))</f>
        <v/>
      </c>
    </row>
    <row r="362">
      <c r="A362" s="16" t="n"/>
      <c r="B362" s="17">
        <f>IF(A362="","",CHOOSE(WEEKDAY(A362,2),"Pzt","Sal","Çar","Per","Cum","Cmt","Paz"))</f>
        <v/>
      </c>
      <c r="C362" s="18" t="n"/>
      <c r="D362" s="17" t="n"/>
      <c r="E362" s="17" t="n"/>
      <c r="F362" s="17" t="n"/>
      <c r="G362" s="17" t="n"/>
      <c r="H362" s="19">
        <f>IF(OR(A362="",C362=""),"",IF(WEEKDAY(A362,2)&gt;=6,UcretHaftaSonu,IF(OR(C362&gt;=AksamBas,C362&lt;TIME(6,0,0)),UcretAksam,UcretGunduz)))</f>
        <v/>
      </c>
      <c r="I362" s="19" t="n"/>
      <c r="J362" s="17" t="n"/>
      <c r="K362" s="19">
        <f>IF(H362="","",IF(J362="Evet",0,H362-N(I362)))</f>
        <v/>
      </c>
      <c r="L362" s="17" t="n"/>
      <c r="M362" s="17" t="n"/>
      <c r="N362">
        <f>IF(OR(A362="",C362="",D362="",L362="İptal"),"",IFERROR(INT(A362)*100000+ROUND(C362*1440,0)*10+MATCH(D362,Sahalar,0),""))</f>
        <v/>
      </c>
    </row>
    <row r="363">
      <c r="A363" s="16" t="n"/>
      <c r="B363" s="17">
        <f>IF(A363="","",CHOOSE(WEEKDAY(A363,2),"Pzt","Sal","Çar","Per","Cum","Cmt","Paz"))</f>
        <v/>
      </c>
      <c r="C363" s="18" t="n"/>
      <c r="D363" s="17" t="n"/>
      <c r="E363" s="17" t="n"/>
      <c r="F363" s="17" t="n"/>
      <c r="G363" s="17" t="n"/>
      <c r="H363" s="19">
        <f>IF(OR(A363="",C363=""),"",IF(WEEKDAY(A363,2)&gt;=6,UcretHaftaSonu,IF(OR(C363&gt;=AksamBas,C363&lt;TIME(6,0,0)),UcretAksam,UcretGunduz)))</f>
        <v/>
      </c>
      <c r="I363" s="19" t="n"/>
      <c r="J363" s="17" t="n"/>
      <c r="K363" s="19">
        <f>IF(H363="","",IF(J363="Evet",0,H363-N(I363)))</f>
        <v/>
      </c>
      <c r="L363" s="17" t="n"/>
      <c r="M363" s="17" t="n"/>
      <c r="N363">
        <f>IF(OR(A363="",C363="",D363="",L363="İptal"),"",IFERROR(INT(A363)*100000+ROUND(C363*1440,0)*10+MATCH(D363,Sahalar,0),""))</f>
        <v/>
      </c>
    </row>
    <row r="364">
      <c r="A364" s="16" t="n"/>
      <c r="B364" s="17">
        <f>IF(A364="","",CHOOSE(WEEKDAY(A364,2),"Pzt","Sal","Çar","Per","Cum","Cmt","Paz"))</f>
        <v/>
      </c>
      <c r="C364" s="18" t="n"/>
      <c r="D364" s="17" t="n"/>
      <c r="E364" s="17" t="n"/>
      <c r="F364" s="17" t="n"/>
      <c r="G364" s="17" t="n"/>
      <c r="H364" s="19">
        <f>IF(OR(A364="",C364=""),"",IF(WEEKDAY(A364,2)&gt;=6,UcretHaftaSonu,IF(OR(C364&gt;=AksamBas,C364&lt;TIME(6,0,0)),UcretAksam,UcretGunduz)))</f>
        <v/>
      </c>
      <c r="I364" s="19" t="n"/>
      <c r="J364" s="17" t="n"/>
      <c r="K364" s="19">
        <f>IF(H364="","",IF(J364="Evet",0,H364-N(I364)))</f>
        <v/>
      </c>
      <c r="L364" s="17" t="n"/>
      <c r="M364" s="17" t="n"/>
      <c r="N364">
        <f>IF(OR(A364="",C364="",D364="",L364="İptal"),"",IFERROR(INT(A364)*100000+ROUND(C364*1440,0)*10+MATCH(D364,Sahalar,0),""))</f>
        <v/>
      </c>
    </row>
    <row r="365">
      <c r="A365" s="16" t="n"/>
      <c r="B365" s="17">
        <f>IF(A365="","",CHOOSE(WEEKDAY(A365,2),"Pzt","Sal","Çar","Per","Cum","Cmt","Paz"))</f>
        <v/>
      </c>
      <c r="C365" s="18" t="n"/>
      <c r="D365" s="17" t="n"/>
      <c r="E365" s="17" t="n"/>
      <c r="F365" s="17" t="n"/>
      <c r="G365" s="17" t="n"/>
      <c r="H365" s="19">
        <f>IF(OR(A365="",C365=""),"",IF(WEEKDAY(A365,2)&gt;=6,UcretHaftaSonu,IF(OR(C365&gt;=AksamBas,C365&lt;TIME(6,0,0)),UcretAksam,UcretGunduz)))</f>
        <v/>
      </c>
      <c r="I365" s="19" t="n"/>
      <c r="J365" s="17" t="n"/>
      <c r="K365" s="19">
        <f>IF(H365="","",IF(J365="Evet",0,H365-N(I365)))</f>
        <v/>
      </c>
      <c r="L365" s="17" t="n"/>
      <c r="M365" s="17" t="n"/>
      <c r="N365">
        <f>IF(OR(A365="",C365="",D365="",L365="İptal"),"",IFERROR(INT(A365)*100000+ROUND(C365*1440,0)*10+MATCH(D365,Sahalar,0),""))</f>
        <v/>
      </c>
    </row>
    <row r="366">
      <c r="A366" s="16" t="n"/>
      <c r="B366" s="17">
        <f>IF(A366="","",CHOOSE(WEEKDAY(A366,2),"Pzt","Sal","Çar","Per","Cum","Cmt","Paz"))</f>
        <v/>
      </c>
      <c r="C366" s="18" t="n"/>
      <c r="D366" s="17" t="n"/>
      <c r="E366" s="17" t="n"/>
      <c r="F366" s="17" t="n"/>
      <c r="G366" s="17" t="n"/>
      <c r="H366" s="19">
        <f>IF(OR(A366="",C366=""),"",IF(WEEKDAY(A366,2)&gt;=6,UcretHaftaSonu,IF(OR(C366&gt;=AksamBas,C366&lt;TIME(6,0,0)),UcretAksam,UcretGunduz)))</f>
        <v/>
      </c>
      <c r="I366" s="19" t="n"/>
      <c r="J366" s="17" t="n"/>
      <c r="K366" s="19">
        <f>IF(H366="","",IF(J366="Evet",0,H366-N(I366)))</f>
        <v/>
      </c>
      <c r="L366" s="17" t="n"/>
      <c r="M366" s="17" t="n"/>
      <c r="N366">
        <f>IF(OR(A366="",C366="",D366="",L366="İptal"),"",IFERROR(INT(A366)*100000+ROUND(C366*1440,0)*10+MATCH(D366,Sahalar,0),""))</f>
        <v/>
      </c>
    </row>
    <row r="367">
      <c r="A367" s="16" t="n"/>
      <c r="B367" s="17">
        <f>IF(A367="","",CHOOSE(WEEKDAY(A367,2),"Pzt","Sal","Çar","Per","Cum","Cmt","Paz"))</f>
        <v/>
      </c>
      <c r="C367" s="18" t="n"/>
      <c r="D367" s="17" t="n"/>
      <c r="E367" s="17" t="n"/>
      <c r="F367" s="17" t="n"/>
      <c r="G367" s="17" t="n"/>
      <c r="H367" s="19">
        <f>IF(OR(A367="",C367=""),"",IF(WEEKDAY(A367,2)&gt;=6,UcretHaftaSonu,IF(OR(C367&gt;=AksamBas,C367&lt;TIME(6,0,0)),UcretAksam,UcretGunduz)))</f>
        <v/>
      </c>
      <c r="I367" s="19" t="n"/>
      <c r="J367" s="17" t="n"/>
      <c r="K367" s="19">
        <f>IF(H367="","",IF(J367="Evet",0,H367-N(I367)))</f>
        <v/>
      </c>
      <c r="L367" s="17" t="n"/>
      <c r="M367" s="17" t="n"/>
      <c r="N367">
        <f>IF(OR(A367="",C367="",D367="",L367="İptal"),"",IFERROR(INT(A367)*100000+ROUND(C367*1440,0)*10+MATCH(D367,Sahalar,0),""))</f>
        <v/>
      </c>
    </row>
    <row r="368">
      <c r="A368" s="16" t="n"/>
      <c r="B368" s="17">
        <f>IF(A368="","",CHOOSE(WEEKDAY(A368,2),"Pzt","Sal","Çar","Per","Cum","Cmt","Paz"))</f>
        <v/>
      </c>
      <c r="C368" s="18" t="n"/>
      <c r="D368" s="17" t="n"/>
      <c r="E368" s="17" t="n"/>
      <c r="F368" s="17" t="n"/>
      <c r="G368" s="17" t="n"/>
      <c r="H368" s="19">
        <f>IF(OR(A368="",C368=""),"",IF(WEEKDAY(A368,2)&gt;=6,UcretHaftaSonu,IF(OR(C368&gt;=AksamBas,C368&lt;TIME(6,0,0)),UcretAksam,UcretGunduz)))</f>
        <v/>
      </c>
      <c r="I368" s="19" t="n"/>
      <c r="J368" s="17" t="n"/>
      <c r="K368" s="19">
        <f>IF(H368="","",IF(J368="Evet",0,H368-N(I368)))</f>
        <v/>
      </c>
      <c r="L368" s="17" t="n"/>
      <c r="M368" s="17" t="n"/>
      <c r="N368">
        <f>IF(OR(A368="",C368="",D368="",L368="İptal"),"",IFERROR(INT(A368)*100000+ROUND(C368*1440,0)*10+MATCH(D368,Sahalar,0),""))</f>
        <v/>
      </c>
    </row>
    <row r="369">
      <c r="A369" s="16" t="n"/>
      <c r="B369" s="17">
        <f>IF(A369="","",CHOOSE(WEEKDAY(A369,2),"Pzt","Sal","Çar","Per","Cum","Cmt","Paz"))</f>
        <v/>
      </c>
      <c r="C369" s="18" t="n"/>
      <c r="D369" s="17" t="n"/>
      <c r="E369" s="17" t="n"/>
      <c r="F369" s="17" t="n"/>
      <c r="G369" s="17" t="n"/>
      <c r="H369" s="19">
        <f>IF(OR(A369="",C369=""),"",IF(WEEKDAY(A369,2)&gt;=6,UcretHaftaSonu,IF(OR(C369&gt;=AksamBas,C369&lt;TIME(6,0,0)),UcretAksam,UcretGunduz)))</f>
        <v/>
      </c>
      <c r="I369" s="19" t="n"/>
      <c r="J369" s="17" t="n"/>
      <c r="K369" s="19">
        <f>IF(H369="","",IF(J369="Evet",0,H369-N(I369)))</f>
        <v/>
      </c>
      <c r="L369" s="17" t="n"/>
      <c r="M369" s="17" t="n"/>
      <c r="N369">
        <f>IF(OR(A369="",C369="",D369="",L369="İptal"),"",IFERROR(INT(A369)*100000+ROUND(C369*1440,0)*10+MATCH(D369,Sahalar,0),""))</f>
        <v/>
      </c>
    </row>
    <row r="370">
      <c r="A370" s="16" t="n"/>
      <c r="B370" s="17">
        <f>IF(A370="","",CHOOSE(WEEKDAY(A370,2),"Pzt","Sal","Çar","Per","Cum","Cmt","Paz"))</f>
        <v/>
      </c>
      <c r="C370" s="18" t="n"/>
      <c r="D370" s="17" t="n"/>
      <c r="E370" s="17" t="n"/>
      <c r="F370" s="17" t="n"/>
      <c r="G370" s="17" t="n"/>
      <c r="H370" s="19">
        <f>IF(OR(A370="",C370=""),"",IF(WEEKDAY(A370,2)&gt;=6,UcretHaftaSonu,IF(OR(C370&gt;=AksamBas,C370&lt;TIME(6,0,0)),UcretAksam,UcretGunduz)))</f>
        <v/>
      </c>
      <c r="I370" s="19" t="n"/>
      <c r="J370" s="17" t="n"/>
      <c r="K370" s="19">
        <f>IF(H370="","",IF(J370="Evet",0,H370-N(I370)))</f>
        <v/>
      </c>
      <c r="L370" s="17" t="n"/>
      <c r="M370" s="17" t="n"/>
      <c r="N370">
        <f>IF(OR(A370="",C370="",D370="",L370="İptal"),"",IFERROR(INT(A370)*100000+ROUND(C370*1440,0)*10+MATCH(D370,Sahalar,0),""))</f>
        <v/>
      </c>
    </row>
    <row r="371">
      <c r="A371" s="16" t="n"/>
      <c r="B371" s="17">
        <f>IF(A371="","",CHOOSE(WEEKDAY(A371,2),"Pzt","Sal","Çar","Per","Cum","Cmt","Paz"))</f>
        <v/>
      </c>
      <c r="C371" s="18" t="n"/>
      <c r="D371" s="17" t="n"/>
      <c r="E371" s="17" t="n"/>
      <c r="F371" s="17" t="n"/>
      <c r="G371" s="17" t="n"/>
      <c r="H371" s="19">
        <f>IF(OR(A371="",C371=""),"",IF(WEEKDAY(A371,2)&gt;=6,UcretHaftaSonu,IF(OR(C371&gt;=AksamBas,C371&lt;TIME(6,0,0)),UcretAksam,UcretGunduz)))</f>
        <v/>
      </c>
      <c r="I371" s="19" t="n"/>
      <c r="J371" s="17" t="n"/>
      <c r="K371" s="19">
        <f>IF(H371="","",IF(J371="Evet",0,H371-N(I371)))</f>
        <v/>
      </c>
      <c r="L371" s="17" t="n"/>
      <c r="M371" s="17" t="n"/>
      <c r="N371">
        <f>IF(OR(A371="",C371="",D371="",L371="İptal"),"",IFERROR(INT(A371)*100000+ROUND(C371*1440,0)*10+MATCH(D371,Sahalar,0),""))</f>
        <v/>
      </c>
    </row>
    <row r="372">
      <c r="A372" s="16" t="n"/>
      <c r="B372" s="17">
        <f>IF(A372="","",CHOOSE(WEEKDAY(A372,2),"Pzt","Sal","Çar","Per","Cum","Cmt","Paz"))</f>
        <v/>
      </c>
      <c r="C372" s="18" t="n"/>
      <c r="D372" s="17" t="n"/>
      <c r="E372" s="17" t="n"/>
      <c r="F372" s="17" t="n"/>
      <c r="G372" s="17" t="n"/>
      <c r="H372" s="19">
        <f>IF(OR(A372="",C372=""),"",IF(WEEKDAY(A372,2)&gt;=6,UcretHaftaSonu,IF(OR(C372&gt;=AksamBas,C372&lt;TIME(6,0,0)),UcretAksam,UcretGunduz)))</f>
        <v/>
      </c>
      <c r="I372" s="19" t="n"/>
      <c r="J372" s="17" t="n"/>
      <c r="K372" s="19">
        <f>IF(H372="","",IF(J372="Evet",0,H372-N(I372)))</f>
        <v/>
      </c>
      <c r="L372" s="17" t="n"/>
      <c r="M372" s="17" t="n"/>
      <c r="N372">
        <f>IF(OR(A372="",C372="",D372="",L372="İptal"),"",IFERROR(INT(A372)*100000+ROUND(C372*1440,0)*10+MATCH(D372,Sahalar,0),""))</f>
        <v/>
      </c>
    </row>
    <row r="373">
      <c r="A373" s="16" t="n"/>
      <c r="B373" s="17">
        <f>IF(A373="","",CHOOSE(WEEKDAY(A373,2),"Pzt","Sal","Çar","Per","Cum","Cmt","Paz"))</f>
        <v/>
      </c>
      <c r="C373" s="18" t="n"/>
      <c r="D373" s="17" t="n"/>
      <c r="E373" s="17" t="n"/>
      <c r="F373" s="17" t="n"/>
      <c r="G373" s="17" t="n"/>
      <c r="H373" s="19">
        <f>IF(OR(A373="",C373=""),"",IF(WEEKDAY(A373,2)&gt;=6,UcretHaftaSonu,IF(OR(C373&gt;=AksamBas,C373&lt;TIME(6,0,0)),UcretAksam,UcretGunduz)))</f>
        <v/>
      </c>
      <c r="I373" s="19" t="n"/>
      <c r="J373" s="17" t="n"/>
      <c r="K373" s="19">
        <f>IF(H373="","",IF(J373="Evet",0,H373-N(I373)))</f>
        <v/>
      </c>
      <c r="L373" s="17" t="n"/>
      <c r="M373" s="17" t="n"/>
      <c r="N373">
        <f>IF(OR(A373="",C373="",D373="",L373="İptal"),"",IFERROR(INT(A373)*100000+ROUND(C373*1440,0)*10+MATCH(D373,Sahalar,0),""))</f>
        <v/>
      </c>
    </row>
    <row r="374">
      <c r="A374" s="16" t="n"/>
      <c r="B374" s="17">
        <f>IF(A374="","",CHOOSE(WEEKDAY(A374,2),"Pzt","Sal","Çar","Per","Cum","Cmt","Paz"))</f>
        <v/>
      </c>
      <c r="C374" s="18" t="n"/>
      <c r="D374" s="17" t="n"/>
      <c r="E374" s="17" t="n"/>
      <c r="F374" s="17" t="n"/>
      <c r="G374" s="17" t="n"/>
      <c r="H374" s="19">
        <f>IF(OR(A374="",C374=""),"",IF(WEEKDAY(A374,2)&gt;=6,UcretHaftaSonu,IF(OR(C374&gt;=AksamBas,C374&lt;TIME(6,0,0)),UcretAksam,UcretGunduz)))</f>
        <v/>
      </c>
      <c r="I374" s="19" t="n"/>
      <c r="J374" s="17" t="n"/>
      <c r="K374" s="19">
        <f>IF(H374="","",IF(J374="Evet",0,H374-N(I374)))</f>
        <v/>
      </c>
      <c r="L374" s="17" t="n"/>
      <c r="M374" s="17" t="n"/>
      <c r="N374">
        <f>IF(OR(A374="",C374="",D374="",L374="İptal"),"",IFERROR(INT(A374)*100000+ROUND(C374*1440,0)*10+MATCH(D374,Sahalar,0),""))</f>
        <v/>
      </c>
    </row>
    <row r="375">
      <c r="A375" s="16" t="n"/>
      <c r="B375" s="17">
        <f>IF(A375="","",CHOOSE(WEEKDAY(A375,2),"Pzt","Sal","Çar","Per","Cum","Cmt","Paz"))</f>
        <v/>
      </c>
      <c r="C375" s="18" t="n"/>
      <c r="D375" s="17" t="n"/>
      <c r="E375" s="17" t="n"/>
      <c r="F375" s="17" t="n"/>
      <c r="G375" s="17" t="n"/>
      <c r="H375" s="19">
        <f>IF(OR(A375="",C375=""),"",IF(WEEKDAY(A375,2)&gt;=6,UcretHaftaSonu,IF(OR(C375&gt;=AksamBas,C375&lt;TIME(6,0,0)),UcretAksam,UcretGunduz)))</f>
        <v/>
      </c>
      <c r="I375" s="19" t="n"/>
      <c r="J375" s="17" t="n"/>
      <c r="K375" s="19">
        <f>IF(H375="","",IF(J375="Evet",0,H375-N(I375)))</f>
        <v/>
      </c>
      <c r="L375" s="17" t="n"/>
      <c r="M375" s="17" t="n"/>
      <c r="N375">
        <f>IF(OR(A375="",C375="",D375="",L375="İptal"),"",IFERROR(INT(A375)*100000+ROUND(C375*1440,0)*10+MATCH(D375,Sahalar,0),""))</f>
        <v/>
      </c>
    </row>
    <row r="376">
      <c r="A376" s="16" t="n"/>
      <c r="B376" s="17">
        <f>IF(A376="","",CHOOSE(WEEKDAY(A376,2),"Pzt","Sal","Çar","Per","Cum","Cmt","Paz"))</f>
        <v/>
      </c>
      <c r="C376" s="18" t="n"/>
      <c r="D376" s="17" t="n"/>
      <c r="E376" s="17" t="n"/>
      <c r="F376" s="17" t="n"/>
      <c r="G376" s="17" t="n"/>
      <c r="H376" s="19">
        <f>IF(OR(A376="",C376=""),"",IF(WEEKDAY(A376,2)&gt;=6,UcretHaftaSonu,IF(OR(C376&gt;=AksamBas,C376&lt;TIME(6,0,0)),UcretAksam,UcretGunduz)))</f>
        <v/>
      </c>
      <c r="I376" s="19" t="n"/>
      <c r="J376" s="17" t="n"/>
      <c r="K376" s="19">
        <f>IF(H376="","",IF(J376="Evet",0,H376-N(I376)))</f>
        <v/>
      </c>
      <c r="L376" s="17" t="n"/>
      <c r="M376" s="17" t="n"/>
      <c r="N376">
        <f>IF(OR(A376="",C376="",D376="",L376="İptal"),"",IFERROR(INT(A376)*100000+ROUND(C376*1440,0)*10+MATCH(D376,Sahalar,0),""))</f>
        <v/>
      </c>
    </row>
    <row r="377">
      <c r="A377" s="16" t="n"/>
      <c r="B377" s="17">
        <f>IF(A377="","",CHOOSE(WEEKDAY(A377,2),"Pzt","Sal","Çar","Per","Cum","Cmt","Paz"))</f>
        <v/>
      </c>
      <c r="C377" s="18" t="n"/>
      <c r="D377" s="17" t="n"/>
      <c r="E377" s="17" t="n"/>
      <c r="F377" s="17" t="n"/>
      <c r="G377" s="17" t="n"/>
      <c r="H377" s="19">
        <f>IF(OR(A377="",C377=""),"",IF(WEEKDAY(A377,2)&gt;=6,UcretHaftaSonu,IF(OR(C377&gt;=AksamBas,C377&lt;TIME(6,0,0)),UcretAksam,UcretGunduz)))</f>
        <v/>
      </c>
      <c r="I377" s="19" t="n"/>
      <c r="J377" s="17" t="n"/>
      <c r="K377" s="19">
        <f>IF(H377="","",IF(J377="Evet",0,H377-N(I377)))</f>
        <v/>
      </c>
      <c r="L377" s="17" t="n"/>
      <c r="M377" s="17" t="n"/>
      <c r="N377">
        <f>IF(OR(A377="",C377="",D377="",L377="İptal"),"",IFERROR(INT(A377)*100000+ROUND(C377*1440,0)*10+MATCH(D377,Sahalar,0),""))</f>
        <v/>
      </c>
    </row>
    <row r="378">
      <c r="A378" s="16" t="n"/>
      <c r="B378" s="17">
        <f>IF(A378="","",CHOOSE(WEEKDAY(A378,2),"Pzt","Sal","Çar","Per","Cum","Cmt","Paz"))</f>
        <v/>
      </c>
      <c r="C378" s="18" t="n"/>
      <c r="D378" s="17" t="n"/>
      <c r="E378" s="17" t="n"/>
      <c r="F378" s="17" t="n"/>
      <c r="G378" s="17" t="n"/>
      <c r="H378" s="19">
        <f>IF(OR(A378="",C378=""),"",IF(WEEKDAY(A378,2)&gt;=6,UcretHaftaSonu,IF(OR(C378&gt;=AksamBas,C378&lt;TIME(6,0,0)),UcretAksam,UcretGunduz)))</f>
        <v/>
      </c>
      <c r="I378" s="19" t="n"/>
      <c r="J378" s="17" t="n"/>
      <c r="K378" s="19">
        <f>IF(H378="","",IF(J378="Evet",0,H378-N(I378)))</f>
        <v/>
      </c>
      <c r="L378" s="17" t="n"/>
      <c r="M378" s="17" t="n"/>
      <c r="N378">
        <f>IF(OR(A378="",C378="",D378="",L378="İptal"),"",IFERROR(INT(A378)*100000+ROUND(C378*1440,0)*10+MATCH(D378,Sahalar,0),""))</f>
        <v/>
      </c>
    </row>
    <row r="379">
      <c r="A379" s="16" t="n"/>
      <c r="B379" s="17">
        <f>IF(A379="","",CHOOSE(WEEKDAY(A379,2),"Pzt","Sal","Çar","Per","Cum","Cmt","Paz"))</f>
        <v/>
      </c>
      <c r="C379" s="18" t="n"/>
      <c r="D379" s="17" t="n"/>
      <c r="E379" s="17" t="n"/>
      <c r="F379" s="17" t="n"/>
      <c r="G379" s="17" t="n"/>
      <c r="H379" s="19">
        <f>IF(OR(A379="",C379=""),"",IF(WEEKDAY(A379,2)&gt;=6,UcretHaftaSonu,IF(OR(C379&gt;=AksamBas,C379&lt;TIME(6,0,0)),UcretAksam,UcretGunduz)))</f>
        <v/>
      </c>
      <c r="I379" s="19" t="n"/>
      <c r="J379" s="17" t="n"/>
      <c r="K379" s="19">
        <f>IF(H379="","",IF(J379="Evet",0,H379-N(I379)))</f>
        <v/>
      </c>
      <c r="L379" s="17" t="n"/>
      <c r="M379" s="17" t="n"/>
      <c r="N379">
        <f>IF(OR(A379="",C379="",D379="",L379="İptal"),"",IFERROR(INT(A379)*100000+ROUND(C379*1440,0)*10+MATCH(D379,Sahalar,0),""))</f>
        <v/>
      </c>
    </row>
    <row r="380">
      <c r="A380" s="16" t="n"/>
      <c r="B380" s="17">
        <f>IF(A380="","",CHOOSE(WEEKDAY(A380,2),"Pzt","Sal","Çar","Per","Cum","Cmt","Paz"))</f>
        <v/>
      </c>
      <c r="C380" s="18" t="n"/>
      <c r="D380" s="17" t="n"/>
      <c r="E380" s="17" t="n"/>
      <c r="F380" s="17" t="n"/>
      <c r="G380" s="17" t="n"/>
      <c r="H380" s="19">
        <f>IF(OR(A380="",C380=""),"",IF(WEEKDAY(A380,2)&gt;=6,UcretHaftaSonu,IF(OR(C380&gt;=AksamBas,C380&lt;TIME(6,0,0)),UcretAksam,UcretGunduz)))</f>
        <v/>
      </c>
      <c r="I380" s="19" t="n"/>
      <c r="J380" s="17" t="n"/>
      <c r="K380" s="19">
        <f>IF(H380="","",IF(J380="Evet",0,H380-N(I380)))</f>
        <v/>
      </c>
      <c r="L380" s="17" t="n"/>
      <c r="M380" s="17" t="n"/>
      <c r="N380">
        <f>IF(OR(A380="",C380="",D380="",L380="İptal"),"",IFERROR(INT(A380)*100000+ROUND(C380*1440,0)*10+MATCH(D380,Sahalar,0),""))</f>
        <v/>
      </c>
    </row>
    <row r="381">
      <c r="A381" s="16" t="n"/>
      <c r="B381" s="17">
        <f>IF(A381="","",CHOOSE(WEEKDAY(A381,2),"Pzt","Sal","Çar","Per","Cum","Cmt","Paz"))</f>
        <v/>
      </c>
      <c r="C381" s="18" t="n"/>
      <c r="D381" s="17" t="n"/>
      <c r="E381" s="17" t="n"/>
      <c r="F381" s="17" t="n"/>
      <c r="G381" s="17" t="n"/>
      <c r="H381" s="19">
        <f>IF(OR(A381="",C381=""),"",IF(WEEKDAY(A381,2)&gt;=6,UcretHaftaSonu,IF(OR(C381&gt;=AksamBas,C381&lt;TIME(6,0,0)),UcretAksam,UcretGunduz)))</f>
        <v/>
      </c>
      <c r="I381" s="19" t="n"/>
      <c r="J381" s="17" t="n"/>
      <c r="K381" s="19">
        <f>IF(H381="","",IF(J381="Evet",0,H381-N(I381)))</f>
        <v/>
      </c>
      <c r="L381" s="17" t="n"/>
      <c r="M381" s="17" t="n"/>
      <c r="N381">
        <f>IF(OR(A381="",C381="",D381="",L381="İptal"),"",IFERROR(INT(A381)*100000+ROUND(C381*1440,0)*10+MATCH(D381,Sahalar,0),""))</f>
        <v/>
      </c>
    </row>
    <row r="382">
      <c r="A382" s="16" t="n"/>
      <c r="B382" s="17">
        <f>IF(A382="","",CHOOSE(WEEKDAY(A382,2),"Pzt","Sal","Çar","Per","Cum","Cmt","Paz"))</f>
        <v/>
      </c>
      <c r="C382" s="18" t="n"/>
      <c r="D382" s="17" t="n"/>
      <c r="E382" s="17" t="n"/>
      <c r="F382" s="17" t="n"/>
      <c r="G382" s="17" t="n"/>
      <c r="H382" s="19">
        <f>IF(OR(A382="",C382=""),"",IF(WEEKDAY(A382,2)&gt;=6,UcretHaftaSonu,IF(OR(C382&gt;=AksamBas,C382&lt;TIME(6,0,0)),UcretAksam,UcretGunduz)))</f>
        <v/>
      </c>
      <c r="I382" s="19" t="n"/>
      <c r="J382" s="17" t="n"/>
      <c r="K382" s="19">
        <f>IF(H382="","",IF(J382="Evet",0,H382-N(I382)))</f>
        <v/>
      </c>
      <c r="L382" s="17" t="n"/>
      <c r="M382" s="17" t="n"/>
      <c r="N382">
        <f>IF(OR(A382="",C382="",D382="",L382="İptal"),"",IFERROR(INT(A382)*100000+ROUND(C382*1440,0)*10+MATCH(D382,Sahalar,0),""))</f>
        <v/>
      </c>
    </row>
    <row r="383">
      <c r="A383" s="16" t="n"/>
      <c r="B383" s="17">
        <f>IF(A383="","",CHOOSE(WEEKDAY(A383,2),"Pzt","Sal","Çar","Per","Cum","Cmt","Paz"))</f>
        <v/>
      </c>
      <c r="C383" s="18" t="n"/>
      <c r="D383" s="17" t="n"/>
      <c r="E383" s="17" t="n"/>
      <c r="F383" s="17" t="n"/>
      <c r="G383" s="17" t="n"/>
      <c r="H383" s="19">
        <f>IF(OR(A383="",C383=""),"",IF(WEEKDAY(A383,2)&gt;=6,UcretHaftaSonu,IF(OR(C383&gt;=AksamBas,C383&lt;TIME(6,0,0)),UcretAksam,UcretGunduz)))</f>
        <v/>
      </c>
      <c r="I383" s="19" t="n"/>
      <c r="J383" s="17" t="n"/>
      <c r="K383" s="19">
        <f>IF(H383="","",IF(J383="Evet",0,H383-N(I383)))</f>
        <v/>
      </c>
      <c r="L383" s="17" t="n"/>
      <c r="M383" s="17" t="n"/>
      <c r="N383">
        <f>IF(OR(A383="",C383="",D383="",L383="İptal"),"",IFERROR(INT(A383)*100000+ROUND(C383*1440,0)*10+MATCH(D383,Sahalar,0),""))</f>
        <v/>
      </c>
    </row>
    <row r="384">
      <c r="A384" s="16" t="n"/>
      <c r="B384" s="17">
        <f>IF(A384="","",CHOOSE(WEEKDAY(A384,2),"Pzt","Sal","Çar","Per","Cum","Cmt","Paz"))</f>
        <v/>
      </c>
      <c r="C384" s="18" t="n"/>
      <c r="D384" s="17" t="n"/>
      <c r="E384" s="17" t="n"/>
      <c r="F384" s="17" t="n"/>
      <c r="G384" s="17" t="n"/>
      <c r="H384" s="19">
        <f>IF(OR(A384="",C384=""),"",IF(WEEKDAY(A384,2)&gt;=6,UcretHaftaSonu,IF(OR(C384&gt;=AksamBas,C384&lt;TIME(6,0,0)),UcretAksam,UcretGunduz)))</f>
        <v/>
      </c>
      <c r="I384" s="19" t="n"/>
      <c r="J384" s="17" t="n"/>
      <c r="K384" s="19">
        <f>IF(H384="","",IF(J384="Evet",0,H384-N(I384)))</f>
        <v/>
      </c>
      <c r="L384" s="17" t="n"/>
      <c r="M384" s="17" t="n"/>
      <c r="N384">
        <f>IF(OR(A384="",C384="",D384="",L384="İptal"),"",IFERROR(INT(A384)*100000+ROUND(C384*1440,0)*10+MATCH(D384,Sahalar,0),""))</f>
        <v/>
      </c>
    </row>
    <row r="385">
      <c r="A385" s="16" t="n"/>
      <c r="B385" s="17">
        <f>IF(A385="","",CHOOSE(WEEKDAY(A385,2),"Pzt","Sal","Çar","Per","Cum","Cmt","Paz"))</f>
        <v/>
      </c>
      <c r="C385" s="18" t="n"/>
      <c r="D385" s="17" t="n"/>
      <c r="E385" s="17" t="n"/>
      <c r="F385" s="17" t="n"/>
      <c r="G385" s="17" t="n"/>
      <c r="H385" s="19">
        <f>IF(OR(A385="",C385=""),"",IF(WEEKDAY(A385,2)&gt;=6,UcretHaftaSonu,IF(OR(C385&gt;=AksamBas,C385&lt;TIME(6,0,0)),UcretAksam,UcretGunduz)))</f>
        <v/>
      </c>
      <c r="I385" s="19" t="n"/>
      <c r="J385" s="17" t="n"/>
      <c r="K385" s="19">
        <f>IF(H385="","",IF(J385="Evet",0,H385-N(I385)))</f>
        <v/>
      </c>
      <c r="L385" s="17" t="n"/>
      <c r="M385" s="17" t="n"/>
      <c r="N385">
        <f>IF(OR(A385="",C385="",D385="",L385="İptal"),"",IFERROR(INT(A385)*100000+ROUND(C385*1440,0)*10+MATCH(D385,Sahalar,0),""))</f>
        <v/>
      </c>
    </row>
    <row r="386">
      <c r="A386" s="16" t="n"/>
      <c r="B386" s="17">
        <f>IF(A386="","",CHOOSE(WEEKDAY(A386,2),"Pzt","Sal","Çar","Per","Cum","Cmt","Paz"))</f>
        <v/>
      </c>
      <c r="C386" s="18" t="n"/>
      <c r="D386" s="17" t="n"/>
      <c r="E386" s="17" t="n"/>
      <c r="F386" s="17" t="n"/>
      <c r="G386" s="17" t="n"/>
      <c r="H386" s="19">
        <f>IF(OR(A386="",C386=""),"",IF(WEEKDAY(A386,2)&gt;=6,UcretHaftaSonu,IF(OR(C386&gt;=AksamBas,C386&lt;TIME(6,0,0)),UcretAksam,UcretGunduz)))</f>
        <v/>
      </c>
      <c r="I386" s="19" t="n"/>
      <c r="J386" s="17" t="n"/>
      <c r="K386" s="19">
        <f>IF(H386="","",IF(J386="Evet",0,H386-N(I386)))</f>
        <v/>
      </c>
      <c r="L386" s="17" t="n"/>
      <c r="M386" s="17" t="n"/>
      <c r="N386">
        <f>IF(OR(A386="",C386="",D386="",L386="İptal"),"",IFERROR(INT(A386)*100000+ROUND(C386*1440,0)*10+MATCH(D386,Sahalar,0),""))</f>
        <v/>
      </c>
    </row>
    <row r="387">
      <c r="A387" s="16" t="n"/>
      <c r="B387" s="17">
        <f>IF(A387="","",CHOOSE(WEEKDAY(A387,2),"Pzt","Sal","Çar","Per","Cum","Cmt","Paz"))</f>
        <v/>
      </c>
      <c r="C387" s="18" t="n"/>
      <c r="D387" s="17" t="n"/>
      <c r="E387" s="17" t="n"/>
      <c r="F387" s="17" t="n"/>
      <c r="G387" s="17" t="n"/>
      <c r="H387" s="19">
        <f>IF(OR(A387="",C387=""),"",IF(WEEKDAY(A387,2)&gt;=6,UcretHaftaSonu,IF(OR(C387&gt;=AksamBas,C387&lt;TIME(6,0,0)),UcretAksam,UcretGunduz)))</f>
        <v/>
      </c>
      <c r="I387" s="19" t="n"/>
      <c r="J387" s="17" t="n"/>
      <c r="K387" s="19">
        <f>IF(H387="","",IF(J387="Evet",0,H387-N(I387)))</f>
        <v/>
      </c>
      <c r="L387" s="17" t="n"/>
      <c r="M387" s="17" t="n"/>
      <c r="N387">
        <f>IF(OR(A387="",C387="",D387="",L387="İptal"),"",IFERROR(INT(A387)*100000+ROUND(C387*1440,0)*10+MATCH(D387,Sahalar,0),""))</f>
        <v/>
      </c>
    </row>
    <row r="388">
      <c r="A388" s="16" t="n"/>
      <c r="B388" s="17">
        <f>IF(A388="","",CHOOSE(WEEKDAY(A388,2),"Pzt","Sal","Çar","Per","Cum","Cmt","Paz"))</f>
        <v/>
      </c>
      <c r="C388" s="18" t="n"/>
      <c r="D388" s="17" t="n"/>
      <c r="E388" s="17" t="n"/>
      <c r="F388" s="17" t="n"/>
      <c r="G388" s="17" t="n"/>
      <c r="H388" s="19">
        <f>IF(OR(A388="",C388=""),"",IF(WEEKDAY(A388,2)&gt;=6,UcretHaftaSonu,IF(OR(C388&gt;=AksamBas,C388&lt;TIME(6,0,0)),UcretAksam,UcretGunduz)))</f>
        <v/>
      </c>
      <c r="I388" s="19" t="n"/>
      <c r="J388" s="17" t="n"/>
      <c r="K388" s="19">
        <f>IF(H388="","",IF(J388="Evet",0,H388-N(I388)))</f>
        <v/>
      </c>
      <c r="L388" s="17" t="n"/>
      <c r="M388" s="17" t="n"/>
      <c r="N388">
        <f>IF(OR(A388="",C388="",D388="",L388="İptal"),"",IFERROR(INT(A388)*100000+ROUND(C388*1440,0)*10+MATCH(D388,Sahalar,0),""))</f>
        <v/>
      </c>
    </row>
    <row r="389">
      <c r="A389" s="16" t="n"/>
      <c r="B389" s="17">
        <f>IF(A389="","",CHOOSE(WEEKDAY(A389,2),"Pzt","Sal","Çar","Per","Cum","Cmt","Paz"))</f>
        <v/>
      </c>
      <c r="C389" s="18" t="n"/>
      <c r="D389" s="17" t="n"/>
      <c r="E389" s="17" t="n"/>
      <c r="F389" s="17" t="n"/>
      <c r="G389" s="17" t="n"/>
      <c r="H389" s="19">
        <f>IF(OR(A389="",C389=""),"",IF(WEEKDAY(A389,2)&gt;=6,UcretHaftaSonu,IF(OR(C389&gt;=AksamBas,C389&lt;TIME(6,0,0)),UcretAksam,UcretGunduz)))</f>
        <v/>
      </c>
      <c r="I389" s="19" t="n"/>
      <c r="J389" s="17" t="n"/>
      <c r="K389" s="19">
        <f>IF(H389="","",IF(J389="Evet",0,H389-N(I389)))</f>
        <v/>
      </c>
      <c r="L389" s="17" t="n"/>
      <c r="M389" s="17" t="n"/>
      <c r="N389">
        <f>IF(OR(A389="",C389="",D389="",L389="İptal"),"",IFERROR(INT(A389)*100000+ROUND(C389*1440,0)*10+MATCH(D389,Sahalar,0),""))</f>
        <v/>
      </c>
    </row>
    <row r="390">
      <c r="A390" s="16" t="n"/>
      <c r="B390" s="17">
        <f>IF(A390="","",CHOOSE(WEEKDAY(A390,2),"Pzt","Sal","Çar","Per","Cum","Cmt","Paz"))</f>
        <v/>
      </c>
      <c r="C390" s="18" t="n"/>
      <c r="D390" s="17" t="n"/>
      <c r="E390" s="17" t="n"/>
      <c r="F390" s="17" t="n"/>
      <c r="G390" s="17" t="n"/>
      <c r="H390" s="19">
        <f>IF(OR(A390="",C390=""),"",IF(WEEKDAY(A390,2)&gt;=6,UcretHaftaSonu,IF(OR(C390&gt;=AksamBas,C390&lt;TIME(6,0,0)),UcretAksam,UcretGunduz)))</f>
        <v/>
      </c>
      <c r="I390" s="19" t="n"/>
      <c r="J390" s="17" t="n"/>
      <c r="K390" s="19">
        <f>IF(H390="","",IF(J390="Evet",0,H390-N(I390)))</f>
        <v/>
      </c>
      <c r="L390" s="17" t="n"/>
      <c r="M390" s="17" t="n"/>
      <c r="N390">
        <f>IF(OR(A390="",C390="",D390="",L390="İptal"),"",IFERROR(INT(A390)*100000+ROUND(C390*1440,0)*10+MATCH(D390,Sahalar,0),""))</f>
        <v/>
      </c>
    </row>
    <row r="391">
      <c r="A391" s="16" t="n"/>
      <c r="B391" s="17">
        <f>IF(A391="","",CHOOSE(WEEKDAY(A391,2),"Pzt","Sal","Çar","Per","Cum","Cmt","Paz"))</f>
        <v/>
      </c>
      <c r="C391" s="18" t="n"/>
      <c r="D391" s="17" t="n"/>
      <c r="E391" s="17" t="n"/>
      <c r="F391" s="17" t="n"/>
      <c r="G391" s="17" t="n"/>
      <c r="H391" s="19">
        <f>IF(OR(A391="",C391=""),"",IF(WEEKDAY(A391,2)&gt;=6,UcretHaftaSonu,IF(OR(C391&gt;=AksamBas,C391&lt;TIME(6,0,0)),UcretAksam,UcretGunduz)))</f>
        <v/>
      </c>
      <c r="I391" s="19" t="n"/>
      <c r="J391" s="17" t="n"/>
      <c r="K391" s="19">
        <f>IF(H391="","",IF(J391="Evet",0,H391-N(I391)))</f>
        <v/>
      </c>
      <c r="L391" s="17" t="n"/>
      <c r="M391" s="17" t="n"/>
      <c r="N391">
        <f>IF(OR(A391="",C391="",D391="",L391="İptal"),"",IFERROR(INT(A391)*100000+ROUND(C391*1440,0)*10+MATCH(D391,Sahalar,0),""))</f>
        <v/>
      </c>
    </row>
    <row r="392">
      <c r="A392" s="16" t="n"/>
      <c r="B392" s="17">
        <f>IF(A392="","",CHOOSE(WEEKDAY(A392,2),"Pzt","Sal","Çar","Per","Cum","Cmt","Paz"))</f>
        <v/>
      </c>
      <c r="C392" s="18" t="n"/>
      <c r="D392" s="17" t="n"/>
      <c r="E392" s="17" t="n"/>
      <c r="F392" s="17" t="n"/>
      <c r="G392" s="17" t="n"/>
      <c r="H392" s="19">
        <f>IF(OR(A392="",C392=""),"",IF(WEEKDAY(A392,2)&gt;=6,UcretHaftaSonu,IF(OR(C392&gt;=AksamBas,C392&lt;TIME(6,0,0)),UcretAksam,UcretGunduz)))</f>
        <v/>
      </c>
      <c r="I392" s="19" t="n"/>
      <c r="J392" s="17" t="n"/>
      <c r="K392" s="19">
        <f>IF(H392="","",IF(J392="Evet",0,H392-N(I392)))</f>
        <v/>
      </c>
      <c r="L392" s="17" t="n"/>
      <c r="M392" s="17" t="n"/>
      <c r="N392">
        <f>IF(OR(A392="",C392="",D392="",L392="İptal"),"",IFERROR(INT(A392)*100000+ROUND(C392*1440,0)*10+MATCH(D392,Sahalar,0),""))</f>
        <v/>
      </c>
    </row>
    <row r="393">
      <c r="A393" s="16" t="n"/>
      <c r="B393" s="17">
        <f>IF(A393="","",CHOOSE(WEEKDAY(A393,2),"Pzt","Sal","Çar","Per","Cum","Cmt","Paz"))</f>
        <v/>
      </c>
      <c r="C393" s="18" t="n"/>
      <c r="D393" s="17" t="n"/>
      <c r="E393" s="17" t="n"/>
      <c r="F393" s="17" t="n"/>
      <c r="G393" s="17" t="n"/>
      <c r="H393" s="19">
        <f>IF(OR(A393="",C393=""),"",IF(WEEKDAY(A393,2)&gt;=6,UcretHaftaSonu,IF(OR(C393&gt;=AksamBas,C393&lt;TIME(6,0,0)),UcretAksam,UcretGunduz)))</f>
        <v/>
      </c>
      <c r="I393" s="19" t="n"/>
      <c r="J393" s="17" t="n"/>
      <c r="K393" s="19">
        <f>IF(H393="","",IF(J393="Evet",0,H393-N(I393)))</f>
        <v/>
      </c>
      <c r="L393" s="17" t="n"/>
      <c r="M393" s="17" t="n"/>
      <c r="N393">
        <f>IF(OR(A393="",C393="",D393="",L393="İptal"),"",IFERROR(INT(A393)*100000+ROUND(C393*1440,0)*10+MATCH(D393,Sahalar,0),""))</f>
        <v/>
      </c>
    </row>
    <row r="394">
      <c r="A394" s="16" t="n"/>
      <c r="B394" s="17">
        <f>IF(A394="","",CHOOSE(WEEKDAY(A394,2),"Pzt","Sal","Çar","Per","Cum","Cmt","Paz"))</f>
        <v/>
      </c>
      <c r="C394" s="18" t="n"/>
      <c r="D394" s="17" t="n"/>
      <c r="E394" s="17" t="n"/>
      <c r="F394" s="17" t="n"/>
      <c r="G394" s="17" t="n"/>
      <c r="H394" s="19">
        <f>IF(OR(A394="",C394=""),"",IF(WEEKDAY(A394,2)&gt;=6,UcretHaftaSonu,IF(OR(C394&gt;=AksamBas,C394&lt;TIME(6,0,0)),UcretAksam,UcretGunduz)))</f>
        <v/>
      </c>
      <c r="I394" s="19" t="n"/>
      <c r="J394" s="17" t="n"/>
      <c r="K394" s="19">
        <f>IF(H394="","",IF(J394="Evet",0,H394-N(I394)))</f>
        <v/>
      </c>
      <c r="L394" s="17" t="n"/>
      <c r="M394" s="17" t="n"/>
      <c r="N394">
        <f>IF(OR(A394="",C394="",D394="",L394="İptal"),"",IFERROR(INT(A394)*100000+ROUND(C394*1440,0)*10+MATCH(D394,Sahalar,0),""))</f>
        <v/>
      </c>
    </row>
    <row r="395">
      <c r="A395" s="16" t="n"/>
      <c r="B395" s="17">
        <f>IF(A395="","",CHOOSE(WEEKDAY(A395,2),"Pzt","Sal","Çar","Per","Cum","Cmt","Paz"))</f>
        <v/>
      </c>
      <c r="C395" s="18" t="n"/>
      <c r="D395" s="17" t="n"/>
      <c r="E395" s="17" t="n"/>
      <c r="F395" s="17" t="n"/>
      <c r="G395" s="17" t="n"/>
      <c r="H395" s="19">
        <f>IF(OR(A395="",C395=""),"",IF(WEEKDAY(A395,2)&gt;=6,UcretHaftaSonu,IF(OR(C395&gt;=AksamBas,C395&lt;TIME(6,0,0)),UcretAksam,UcretGunduz)))</f>
        <v/>
      </c>
      <c r="I395" s="19" t="n"/>
      <c r="J395" s="17" t="n"/>
      <c r="K395" s="19">
        <f>IF(H395="","",IF(J395="Evet",0,H395-N(I395)))</f>
        <v/>
      </c>
      <c r="L395" s="17" t="n"/>
      <c r="M395" s="17" t="n"/>
      <c r="N395">
        <f>IF(OR(A395="",C395="",D395="",L395="İptal"),"",IFERROR(INT(A395)*100000+ROUND(C395*1440,0)*10+MATCH(D395,Sahalar,0),""))</f>
        <v/>
      </c>
    </row>
    <row r="396">
      <c r="A396" s="16" t="n"/>
      <c r="B396" s="17">
        <f>IF(A396="","",CHOOSE(WEEKDAY(A396,2),"Pzt","Sal","Çar","Per","Cum","Cmt","Paz"))</f>
        <v/>
      </c>
      <c r="C396" s="18" t="n"/>
      <c r="D396" s="17" t="n"/>
      <c r="E396" s="17" t="n"/>
      <c r="F396" s="17" t="n"/>
      <c r="G396" s="17" t="n"/>
      <c r="H396" s="19">
        <f>IF(OR(A396="",C396=""),"",IF(WEEKDAY(A396,2)&gt;=6,UcretHaftaSonu,IF(OR(C396&gt;=AksamBas,C396&lt;TIME(6,0,0)),UcretAksam,UcretGunduz)))</f>
        <v/>
      </c>
      <c r="I396" s="19" t="n"/>
      <c r="J396" s="17" t="n"/>
      <c r="K396" s="19">
        <f>IF(H396="","",IF(J396="Evet",0,H396-N(I396)))</f>
        <v/>
      </c>
      <c r="L396" s="17" t="n"/>
      <c r="M396" s="17" t="n"/>
      <c r="N396">
        <f>IF(OR(A396="",C396="",D396="",L396="İptal"),"",IFERROR(INT(A396)*100000+ROUND(C396*1440,0)*10+MATCH(D396,Sahalar,0),""))</f>
        <v/>
      </c>
    </row>
    <row r="397">
      <c r="A397" s="16" t="n"/>
      <c r="B397" s="17">
        <f>IF(A397="","",CHOOSE(WEEKDAY(A397,2),"Pzt","Sal","Çar","Per","Cum","Cmt","Paz"))</f>
        <v/>
      </c>
      <c r="C397" s="18" t="n"/>
      <c r="D397" s="17" t="n"/>
      <c r="E397" s="17" t="n"/>
      <c r="F397" s="17" t="n"/>
      <c r="G397" s="17" t="n"/>
      <c r="H397" s="19">
        <f>IF(OR(A397="",C397=""),"",IF(WEEKDAY(A397,2)&gt;=6,UcretHaftaSonu,IF(OR(C397&gt;=AksamBas,C397&lt;TIME(6,0,0)),UcretAksam,UcretGunduz)))</f>
        <v/>
      </c>
      <c r="I397" s="19" t="n"/>
      <c r="J397" s="17" t="n"/>
      <c r="K397" s="19">
        <f>IF(H397="","",IF(J397="Evet",0,H397-N(I397)))</f>
        <v/>
      </c>
      <c r="L397" s="17" t="n"/>
      <c r="M397" s="17" t="n"/>
      <c r="N397">
        <f>IF(OR(A397="",C397="",D397="",L397="İptal"),"",IFERROR(INT(A397)*100000+ROUND(C397*1440,0)*10+MATCH(D397,Sahalar,0),""))</f>
        <v/>
      </c>
    </row>
    <row r="398">
      <c r="A398" s="16" t="n"/>
      <c r="B398" s="17">
        <f>IF(A398="","",CHOOSE(WEEKDAY(A398,2),"Pzt","Sal","Çar","Per","Cum","Cmt","Paz"))</f>
        <v/>
      </c>
      <c r="C398" s="18" t="n"/>
      <c r="D398" s="17" t="n"/>
      <c r="E398" s="17" t="n"/>
      <c r="F398" s="17" t="n"/>
      <c r="G398" s="17" t="n"/>
      <c r="H398" s="19">
        <f>IF(OR(A398="",C398=""),"",IF(WEEKDAY(A398,2)&gt;=6,UcretHaftaSonu,IF(OR(C398&gt;=AksamBas,C398&lt;TIME(6,0,0)),UcretAksam,UcretGunduz)))</f>
        <v/>
      </c>
      <c r="I398" s="19" t="n"/>
      <c r="J398" s="17" t="n"/>
      <c r="K398" s="19">
        <f>IF(H398="","",IF(J398="Evet",0,H398-N(I398)))</f>
        <v/>
      </c>
      <c r="L398" s="17" t="n"/>
      <c r="M398" s="17" t="n"/>
      <c r="N398">
        <f>IF(OR(A398="",C398="",D398="",L398="İptal"),"",IFERROR(INT(A398)*100000+ROUND(C398*1440,0)*10+MATCH(D398,Sahalar,0),""))</f>
        <v/>
      </c>
    </row>
    <row r="399">
      <c r="A399" s="16" t="n"/>
      <c r="B399" s="17">
        <f>IF(A399="","",CHOOSE(WEEKDAY(A399,2),"Pzt","Sal","Çar","Per","Cum","Cmt","Paz"))</f>
        <v/>
      </c>
      <c r="C399" s="18" t="n"/>
      <c r="D399" s="17" t="n"/>
      <c r="E399" s="17" t="n"/>
      <c r="F399" s="17" t="n"/>
      <c r="G399" s="17" t="n"/>
      <c r="H399" s="19">
        <f>IF(OR(A399="",C399=""),"",IF(WEEKDAY(A399,2)&gt;=6,UcretHaftaSonu,IF(OR(C399&gt;=AksamBas,C399&lt;TIME(6,0,0)),UcretAksam,UcretGunduz)))</f>
        <v/>
      </c>
      <c r="I399" s="19" t="n"/>
      <c r="J399" s="17" t="n"/>
      <c r="K399" s="19">
        <f>IF(H399="","",IF(J399="Evet",0,H399-N(I399)))</f>
        <v/>
      </c>
      <c r="L399" s="17" t="n"/>
      <c r="M399" s="17" t="n"/>
      <c r="N399">
        <f>IF(OR(A399="",C399="",D399="",L399="İptal"),"",IFERROR(INT(A399)*100000+ROUND(C399*1440,0)*10+MATCH(D399,Sahalar,0),""))</f>
        <v/>
      </c>
    </row>
    <row r="400">
      <c r="A400" s="16" t="n"/>
      <c r="B400" s="17">
        <f>IF(A400="","",CHOOSE(WEEKDAY(A400,2),"Pzt","Sal","Çar","Per","Cum","Cmt","Paz"))</f>
        <v/>
      </c>
      <c r="C400" s="18" t="n"/>
      <c r="D400" s="17" t="n"/>
      <c r="E400" s="17" t="n"/>
      <c r="F400" s="17" t="n"/>
      <c r="G400" s="17" t="n"/>
      <c r="H400" s="19">
        <f>IF(OR(A400="",C400=""),"",IF(WEEKDAY(A400,2)&gt;=6,UcretHaftaSonu,IF(OR(C400&gt;=AksamBas,C400&lt;TIME(6,0,0)),UcretAksam,UcretGunduz)))</f>
        <v/>
      </c>
      <c r="I400" s="19" t="n"/>
      <c r="J400" s="17" t="n"/>
      <c r="K400" s="19">
        <f>IF(H400="","",IF(J400="Evet",0,H400-N(I400)))</f>
        <v/>
      </c>
      <c r="L400" s="17" t="n"/>
      <c r="M400" s="17" t="n"/>
      <c r="N400">
        <f>IF(OR(A400="",C400="",D400="",L400="İptal"),"",IFERROR(INT(A400)*100000+ROUND(C400*1440,0)*10+MATCH(D400,Sahalar,0),""))</f>
        <v/>
      </c>
    </row>
    <row r="401">
      <c r="A401" s="16" t="n"/>
      <c r="B401" s="17">
        <f>IF(A401="","",CHOOSE(WEEKDAY(A401,2),"Pzt","Sal","Çar","Per","Cum","Cmt","Paz"))</f>
        <v/>
      </c>
      <c r="C401" s="18" t="n"/>
      <c r="D401" s="17" t="n"/>
      <c r="E401" s="17" t="n"/>
      <c r="F401" s="17" t="n"/>
      <c r="G401" s="17" t="n"/>
      <c r="H401" s="19">
        <f>IF(OR(A401="",C401=""),"",IF(WEEKDAY(A401,2)&gt;=6,UcretHaftaSonu,IF(OR(C401&gt;=AksamBas,C401&lt;TIME(6,0,0)),UcretAksam,UcretGunduz)))</f>
        <v/>
      </c>
      <c r="I401" s="19" t="n"/>
      <c r="J401" s="17" t="n"/>
      <c r="K401" s="19">
        <f>IF(H401="","",IF(J401="Evet",0,H401-N(I401)))</f>
        <v/>
      </c>
      <c r="L401" s="17" t="n"/>
      <c r="M401" s="17" t="n"/>
      <c r="N401">
        <f>IF(OR(A401="",C401="",D401="",L401="İptal"),"",IFERROR(INT(A401)*100000+ROUND(C401*1440,0)*10+MATCH(D401,Sahalar,0),""))</f>
        <v/>
      </c>
    </row>
    <row r="402">
      <c r="A402" s="16" t="n"/>
      <c r="B402" s="17">
        <f>IF(A402="","",CHOOSE(WEEKDAY(A402,2),"Pzt","Sal","Çar","Per","Cum","Cmt","Paz"))</f>
        <v/>
      </c>
      <c r="C402" s="18" t="n"/>
      <c r="D402" s="17" t="n"/>
      <c r="E402" s="17" t="n"/>
      <c r="F402" s="17" t="n"/>
      <c r="G402" s="17" t="n"/>
      <c r="H402" s="19">
        <f>IF(OR(A402="",C402=""),"",IF(WEEKDAY(A402,2)&gt;=6,UcretHaftaSonu,IF(OR(C402&gt;=AksamBas,C402&lt;TIME(6,0,0)),UcretAksam,UcretGunduz)))</f>
        <v/>
      </c>
      <c r="I402" s="19" t="n"/>
      <c r="J402" s="17" t="n"/>
      <c r="K402" s="19">
        <f>IF(H402="","",IF(J402="Evet",0,H402-N(I402)))</f>
        <v/>
      </c>
      <c r="L402" s="17" t="n"/>
      <c r="M402" s="17" t="n"/>
      <c r="N402">
        <f>IF(OR(A402="",C402="",D402="",L402="İptal"),"",IFERROR(INT(A402)*100000+ROUND(C402*1440,0)*10+MATCH(D402,Sahalar,0),""))</f>
        <v/>
      </c>
    </row>
    <row r="403">
      <c r="A403" s="16" t="n"/>
      <c r="B403" s="17">
        <f>IF(A403="","",CHOOSE(WEEKDAY(A403,2),"Pzt","Sal","Çar","Per","Cum","Cmt","Paz"))</f>
        <v/>
      </c>
      <c r="C403" s="18" t="n"/>
      <c r="D403" s="17" t="n"/>
      <c r="E403" s="17" t="n"/>
      <c r="F403" s="17" t="n"/>
      <c r="G403" s="17" t="n"/>
      <c r="H403" s="19">
        <f>IF(OR(A403="",C403=""),"",IF(WEEKDAY(A403,2)&gt;=6,UcretHaftaSonu,IF(OR(C403&gt;=AksamBas,C403&lt;TIME(6,0,0)),UcretAksam,UcretGunduz)))</f>
        <v/>
      </c>
      <c r="I403" s="19" t="n"/>
      <c r="J403" s="17" t="n"/>
      <c r="K403" s="19">
        <f>IF(H403="","",IF(J403="Evet",0,H403-N(I403)))</f>
        <v/>
      </c>
      <c r="L403" s="17" t="n"/>
      <c r="M403" s="17" t="n"/>
      <c r="N403">
        <f>IF(OR(A403="",C403="",D403="",L403="İptal"),"",IFERROR(INT(A403)*100000+ROUND(C403*1440,0)*10+MATCH(D403,Sahalar,0),""))</f>
        <v/>
      </c>
    </row>
    <row r="404">
      <c r="A404" s="16" t="n"/>
      <c r="B404" s="17">
        <f>IF(A404="","",CHOOSE(WEEKDAY(A404,2),"Pzt","Sal","Çar","Per","Cum","Cmt","Paz"))</f>
        <v/>
      </c>
      <c r="C404" s="18" t="n"/>
      <c r="D404" s="17" t="n"/>
      <c r="E404" s="17" t="n"/>
      <c r="F404" s="17" t="n"/>
      <c r="G404" s="17" t="n"/>
      <c r="H404" s="19">
        <f>IF(OR(A404="",C404=""),"",IF(WEEKDAY(A404,2)&gt;=6,UcretHaftaSonu,IF(OR(C404&gt;=AksamBas,C404&lt;TIME(6,0,0)),UcretAksam,UcretGunduz)))</f>
        <v/>
      </c>
      <c r="I404" s="19" t="n"/>
      <c r="J404" s="17" t="n"/>
      <c r="K404" s="19">
        <f>IF(H404="","",IF(J404="Evet",0,H404-N(I404)))</f>
        <v/>
      </c>
      <c r="L404" s="17" t="n"/>
      <c r="M404" s="17" t="n"/>
      <c r="N404">
        <f>IF(OR(A404="",C404="",D404="",L404="İptal"),"",IFERROR(INT(A404)*100000+ROUND(C404*1440,0)*10+MATCH(D404,Sahalar,0),""))</f>
        <v/>
      </c>
    </row>
    <row r="405">
      <c r="A405" s="16" t="n"/>
      <c r="B405" s="17">
        <f>IF(A405="","",CHOOSE(WEEKDAY(A405,2),"Pzt","Sal","Çar","Per","Cum","Cmt","Paz"))</f>
        <v/>
      </c>
      <c r="C405" s="18" t="n"/>
      <c r="D405" s="17" t="n"/>
      <c r="E405" s="17" t="n"/>
      <c r="F405" s="17" t="n"/>
      <c r="G405" s="17" t="n"/>
      <c r="H405" s="19">
        <f>IF(OR(A405="",C405=""),"",IF(WEEKDAY(A405,2)&gt;=6,UcretHaftaSonu,IF(OR(C405&gt;=AksamBas,C405&lt;TIME(6,0,0)),UcretAksam,UcretGunduz)))</f>
        <v/>
      </c>
      <c r="I405" s="19" t="n"/>
      <c r="J405" s="17" t="n"/>
      <c r="K405" s="19">
        <f>IF(H405="","",IF(J405="Evet",0,H405-N(I405)))</f>
        <v/>
      </c>
      <c r="L405" s="17" t="n"/>
      <c r="M405" s="17" t="n"/>
      <c r="N405">
        <f>IF(OR(A405="",C405="",D405="",L405="İptal"),"",IFERROR(INT(A405)*100000+ROUND(C405*1440,0)*10+MATCH(D405,Sahalar,0),""))</f>
        <v/>
      </c>
    </row>
    <row r="406">
      <c r="A406" s="16" t="n"/>
      <c r="B406" s="17">
        <f>IF(A406="","",CHOOSE(WEEKDAY(A406,2),"Pzt","Sal","Çar","Per","Cum","Cmt","Paz"))</f>
        <v/>
      </c>
      <c r="C406" s="18" t="n"/>
      <c r="D406" s="17" t="n"/>
      <c r="E406" s="17" t="n"/>
      <c r="F406" s="17" t="n"/>
      <c r="G406" s="17" t="n"/>
      <c r="H406" s="19">
        <f>IF(OR(A406="",C406=""),"",IF(WEEKDAY(A406,2)&gt;=6,UcretHaftaSonu,IF(OR(C406&gt;=AksamBas,C406&lt;TIME(6,0,0)),UcretAksam,UcretGunduz)))</f>
        <v/>
      </c>
      <c r="I406" s="19" t="n"/>
      <c r="J406" s="17" t="n"/>
      <c r="K406" s="19">
        <f>IF(H406="","",IF(J406="Evet",0,H406-N(I406)))</f>
        <v/>
      </c>
      <c r="L406" s="17" t="n"/>
      <c r="M406" s="17" t="n"/>
      <c r="N406">
        <f>IF(OR(A406="",C406="",D406="",L406="İptal"),"",IFERROR(INT(A406)*100000+ROUND(C406*1440,0)*10+MATCH(D406,Sahalar,0),""))</f>
        <v/>
      </c>
    </row>
    <row r="407">
      <c r="A407" s="16" t="n"/>
      <c r="B407" s="17">
        <f>IF(A407="","",CHOOSE(WEEKDAY(A407,2),"Pzt","Sal","Çar","Per","Cum","Cmt","Paz"))</f>
        <v/>
      </c>
      <c r="C407" s="18" t="n"/>
      <c r="D407" s="17" t="n"/>
      <c r="E407" s="17" t="n"/>
      <c r="F407" s="17" t="n"/>
      <c r="G407" s="17" t="n"/>
      <c r="H407" s="19">
        <f>IF(OR(A407="",C407=""),"",IF(WEEKDAY(A407,2)&gt;=6,UcretHaftaSonu,IF(OR(C407&gt;=AksamBas,C407&lt;TIME(6,0,0)),UcretAksam,UcretGunduz)))</f>
        <v/>
      </c>
      <c r="I407" s="19" t="n"/>
      <c r="J407" s="17" t="n"/>
      <c r="K407" s="19">
        <f>IF(H407="","",IF(J407="Evet",0,H407-N(I407)))</f>
        <v/>
      </c>
      <c r="L407" s="17" t="n"/>
      <c r="M407" s="17" t="n"/>
      <c r="N407">
        <f>IF(OR(A407="",C407="",D407="",L407="İptal"),"",IFERROR(INT(A407)*100000+ROUND(C407*1440,0)*10+MATCH(D407,Sahalar,0),""))</f>
        <v/>
      </c>
    </row>
    <row r="408">
      <c r="A408" s="16" t="n"/>
      <c r="B408" s="17">
        <f>IF(A408="","",CHOOSE(WEEKDAY(A408,2),"Pzt","Sal","Çar","Per","Cum","Cmt","Paz"))</f>
        <v/>
      </c>
      <c r="C408" s="18" t="n"/>
      <c r="D408" s="17" t="n"/>
      <c r="E408" s="17" t="n"/>
      <c r="F408" s="17" t="n"/>
      <c r="G408" s="17" t="n"/>
      <c r="H408" s="19">
        <f>IF(OR(A408="",C408=""),"",IF(WEEKDAY(A408,2)&gt;=6,UcretHaftaSonu,IF(OR(C408&gt;=AksamBas,C408&lt;TIME(6,0,0)),UcretAksam,UcretGunduz)))</f>
        <v/>
      </c>
      <c r="I408" s="19" t="n"/>
      <c r="J408" s="17" t="n"/>
      <c r="K408" s="19">
        <f>IF(H408="","",IF(J408="Evet",0,H408-N(I408)))</f>
        <v/>
      </c>
      <c r="L408" s="17" t="n"/>
      <c r="M408" s="17" t="n"/>
      <c r="N408">
        <f>IF(OR(A408="",C408="",D408="",L408="İptal"),"",IFERROR(INT(A408)*100000+ROUND(C408*1440,0)*10+MATCH(D408,Sahalar,0),""))</f>
        <v/>
      </c>
    </row>
    <row r="409">
      <c r="A409" s="16" t="n"/>
      <c r="B409" s="17">
        <f>IF(A409="","",CHOOSE(WEEKDAY(A409,2),"Pzt","Sal","Çar","Per","Cum","Cmt","Paz"))</f>
        <v/>
      </c>
      <c r="C409" s="18" t="n"/>
      <c r="D409" s="17" t="n"/>
      <c r="E409" s="17" t="n"/>
      <c r="F409" s="17" t="n"/>
      <c r="G409" s="17" t="n"/>
      <c r="H409" s="19">
        <f>IF(OR(A409="",C409=""),"",IF(WEEKDAY(A409,2)&gt;=6,UcretHaftaSonu,IF(OR(C409&gt;=AksamBas,C409&lt;TIME(6,0,0)),UcretAksam,UcretGunduz)))</f>
        <v/>
      </c>
      <c r="I409" s="19" t="n"/>
      <c r="J409" s="17" t="n"/>
      <c r="K409" s="19">
        <f>IF(H409="","",IF(J409="Evet",0,H409-N(I409)))</f>
        <v/>
      </c>
      <c r="L409" s="17" t="n"/>
      <c r="M409" s="17" t="n"/>
      <c r="N409">
        <f>IF(OR(A409="",C409="",D409="",L409="İptal"),"",IFERROR(INT(A409)*100000+ROUND(C409*1440,0)*10+MATCH(D409,Sahalar,0),""))</f>
        <v/>
      </c>
    </row>
    <row r="410">
      <c r="A410" s="16" t="n"/>
      <c r="B410" s="17">
        <f>IF(A410="","",CHOOSE(WEEKDAY(A410,2),"Pzt","Sal","Çar","Per","Cum","Cmt","Paz"))</f>
        <v/>
      </c>
      <c r="C410" s="18" t="n"/>
      <c r="D410" s="17" t="n"/>
      <c r="E410" s="17" t="n"/>
      <c r="F410" s="17" t="n"/>
      <c r="G410" s="17" t="n"/>
      <c r="H410" s="19">
        <f>IF(OR(A410="",C410=""),"",IF(WEEKDAY(A410,2)&gt;=6,UcretHaftaSonu,IF(OR(C410&gt;=AksamBas,C410&lt;TIME(6,0,0)),UcretAksam,UcretGunduz)))</f>
        <v/>
      </c>
      <c r="I410" s="19" t="n"/>
      <c r="J410" s="17" t="n"/>
      <c r="K410" s="19">
        <f>IF(H410="","",IF(J410="Evet",0,H410-N(I410)))</f>
        <v/>
      </c>
      <c r="L410" s="17" t="n"/>
      <c r="M410" s="17" t="n"/>
      <c r="N410">
        <f>IF(OR(A410="",C410="",D410="",L410="İptal"),"",IFERROR(INT(A410)*100000+ROUND(C410*1440,0)*10+MATCH(D410,Sahalar,0),""))</f>
        <v/>
      </c>
    </row>
    <row r="411">
      <c r="A411" s="16" t="n"/>
      <c r="B411" s="17">
        <f>IF(A411="","",CHOOSE(WEEKDAY(A411,2),"Pzt","Sal","Çar","Per","Cum","Cmt","Paz"))</f>
        <v/>
      </c>
      <c r="C411" s="18" t="n"/>
      <c r="D411" s="17" t="n"/>
      <c r="E411" s="17" t="n"/>
      <c r="F411" s="17" t="n"/>
      <c r="G411" s="17" t="n"/>
      <c r="H411" s="19">
        <f>IF(OR(A411="",C411=""),"",IF(WEEKDAY(A411,2)&gt;=6,UcretHaftaSonu,IF(OR(C411&gt;=AksamBas,C411&lt;TIME(6,0,0)),UcretAksam,UcretGunduz)))</f>
        <v/>
      </c>
      <c r="I411" s="19" t="n"/>
      <c r="J411" s="17" t="n"/>
      <c r="K411" s="19">
        <f>IF(H411="","",IF(J411="Evet",0,H411-N(I411)))</f>
        <v/>
      </c>
      <c r="L411" s="17" t="n"/>
      <c r="M411" s="17" t="n"/>
      <c r="N411">
        <f>IF(OR(A411="",C411="",D411="",L411="İptal"),"",IFERROR(INT(A411)*100000+ROUND(C411*1440,0)*10+MATCH(D411,Sahalar,0),""))</f>
        <v/>
      </c>
    </row>
    <row r="412">
      <c r="A412" s="16" t="n"/>
      <c r="B412" s="17">
        <f>IF(A412="","",CHOOSE(WEEKDAY(A412,2),"Pzt","Sal","Çar","Per","Cum","Cmt","Paz"))</f>
        <v/>
      </c>
      <c r="C412" s="18" t="n"/>
      <c r="D412" s="17" t="n"/>
      <c r="E412" s="17" t="n"/>
      <c r="F412" s="17" t="n"/>
      <c r="G412" s="17" t="n"/>
      <c r="H412" s="19">
        <f>IF(OR(A412="",C412=""),"",IF(WEEKDAY(A412,2)&gt;=6,UcretHaftaSonu,IF(OR(C412&gt;=AksamBas,C412&lt;TIME(6,0,0)),UcretAksam,UcretGunduz)))</f>
        <v/>
      </c>
      <c r="I412" s="19" t="n"/>
      <c r="J412" s="17" t="n"/>
      <c r="K412" s="19">
        <f>IF(H412="","",IF(J412="Evet",0,H412-N(I412)))</f>
        <v/>
      </c>
      <c r="L412" s="17" t="n"/>
      <c r="M412" s="17" t="n"/>
      <c r="N412">
        <f>IF(OR(A412="",C412="",D412="",L412="İptal"),"",IFERROR(INT(A412)*100000+ROUND(C412*1440,0)*10+MATCH(D412,Sahalar,0),""))</f>
        <v/>
      </c>
    </row>
    <row r="413">
      <c r="A413" s="16" t="n"/>
      <c r="B413" s="17">
        <f>IF(A413="","",CHOOSE(WEEKDAY(A413,2),"Pzt","Sal","Çar","Per","Cum","Cmt","Paz"))</f>
        <v/>
      </c>
      <c r="C413" s="18" t="n"/>
      <c r="D413" s="17" t="n"/>
      <c r="E413" s="17" t="n"/>
      <c r="F413" s="17" t="n"/>
      <c r="G413" s="17" t="n"/>
      <c r="H413" s="19">
        <f>IF(OR(A413="",C413=""),"",IF(WEEKDAY(A413,2)&gt;=6,UcretHaftaSonu,IF(OR(C413&gt;=AksamBas,C413&lt;TIME(6,0,0)),UcretAksam,UcretGunduz)))</f>
        <v/>
      </c>
      <c r="I413" s="19" t="n"/>
      <c r="J413" s="17" t="n"/>
      <c r="K413" s="19">
        <f>IF(H413="","",IF(J413="Evet",0,H413-N(I413)))</f>
        <v/>
      </c>
      <c r="L413" s="17" t="n"/>
      <c r="M413" s="17" t="n"/>
      <c r="N413">
        <f>IF(OR(A413="",C413="",D413="",L413="İptal"),"",IFERROR(INT(A413)*100000+ROUND(C413*1440,0)*10+MATCH(D413,Sahalar,0),""))</f>
        <v/>
      </c>
    </row>
    <row r="414">
      <c r="A414" s="16" t="n"/>
      <c r="B414" s="17">
        <f>IF(A414="","",CHOOSE(WEEKDAY(A414,2),"Pzt","Sal","Çar","Per","Cum","Cmt","Paz"))</f>
        <v/>
      </c>
      <c r="C414" s="18" t="n"/>
      <c r="D414" s="17" t="n"/>
      <c r="E414" s="17" t="n"/>
      <c r="F414" s="17" t="n"/>
      <c r="G414" s="17" t="n"/>
      <c r="H414" s="19">
        <f>IF(OR(A414="",C414=""),"",IF(WEEKDAY(A414,2)&gt;=6,UcretHaftaSonu,IF(OR(C414&gt;=AksamBas,C414&lt;TIME(6,0,0)),UcretAksam,UcretGunduz)))</f>
        <v/>
      </c>
      <c r="I414" s="19" t="n"/>
      <c r="J414" s="17" t="n"/>
      <c r="K414" s="19">
        <f>IF(H414="","",IF(J414="Evet",0,H414-N(I414)))</f>
        <v/>
      </c>
      <c r="L414" s="17" t="n"/>
      <c r="M414" s="17" t="n"/>
      <c r="N414">
        <f>IF(OR(A414="",C414="",D414="",L414="İptal"),"",IFERROR(INT(A414)*100000+ROUND(C414*1440,0)*10+MATCH(D414,Sahalar,0),""))</f>
        <v/>
      </c>
    </row>
    <row r="415">
      <c r="A415" s="16" t="n"/>
      <c r="B415" s="17">
        <f>IF(A415="","",CHOOSE(WEEKDAY(A415,2),"Pzt","Sal","Çar","Per","Cum","Cmt","Paz"))</f>
        <v/>
      </c>
      <c r="C415" s="18" t="n"/>
      <c r="D415" s="17" t="n"/>
      <c r="E415" s="17" t="n"/>
      <c r="F415" s="17" t="n"/>
      <c r="G415" s="17" t="n"/>
      <c r="H415" s="19">
        <f>IF(OR(A415="",C415=""),"",IF(WEEKDAY(A415,2)&gt;=6,UcretHaftaSonu,IF(OR(C415&gt;=AksamBas,C415&lt;TIME(6,0,0)),UcretAksam,UcretGunduz)))</f>
        <v/>
      </c>
      <c r="I415" s="19" t="n"/>
      <c r="J415" s="17" t="n"/>
      <c r="K415" s="19">
        <f>IF(H415="","",IF(J415="Evet",0,H415-N(I415)))</f>
        <v/>
      </c>
      <c r="L415" s="17" t="n"/>
      <c r="M415" s="17" t="n"/>
      <c r="N415">
        <f>IF(OR(A415="",C415="",D415="",L415="İptal"),"",IFERROR(INT(A415)*100000+ROUND(C415*1440,0)*10+MATCH(D415,Sahalar,0),""))</f>
        <v/>
      </c>
    </row>
    <row r="416">
      <c r="A416" s="16" t="n"/>
      <c r="B416" s="17">
        <f>IF(A416="","",CHOOSE(WEEKDAY(A416,2),"Pzt","Sal","Çar","Per","Cum","Cmt","Paz"))</f>
        <v/>
      </c>
      <c r="C416" s="18" t="n"/>
      <c r="D416" s="17" t="n"/>
      <c r="E416" s="17" t="n"/>
      <c r="F416" s="17" t="n"/>
      <c r="G416" s="17" t="n"/>
      <c r="H416" s="19">
        <f>IF(OR(A416="",C416=""),"",IF(WEEKDAY(A416,2)&gt;=6,UcretHaftaSonu,IF(OR(C416&gt;=AksamBas,C416&lt;TIME(6,0,0)),UcretAksam,UcretGunduz)))</f>
        <v/>
      </c>
      <c r="I416" s="19" t="n"/>
      <c r="J416" s="17" t="n"/>
      <c r="K416" s="19">
        <f>IF(H416="","",IF(J416="Evet",0,H416-N(I416)))</f>
        <v/>
      </c>
      <c r="L416" s="17" t="n"/>
      <c r="M416" s="17" t="n"/>
      <c r="N416">
        <f>IF(OR(A416="",C416="",D416="",L416="İptal"),"",IFERROR(INT(A416)*100000+ROUND(C416*1440,0)*10+MATCH(D416,Sahalar,0),""))</f>
        <v/>
      </c>
    </row>
    <row r="417">
      <c r="A417" s="16" t="n"/>
      <c r="B417" s="17">
        <f>IF(A417="","",CHOOSE(WEEKDAY(A417,2),"Pzt","Sal","Çar","Per","Cum","Cmt","Paz"))</f>
        <v/>
      </c>
      <c r="C417" s="18" t="n"/>
      <c r="D417" s="17" t="n"/>
      <c r="E417" s="17" t="n"/>
      <c r="F417" s="17" t="n"/>
      <c r="G417" s="17" t="n"/>
      <c r="H417" s="19">
        <f>IF(OR(A417="",C417=""),"",IF(WEEKDAY(A417,2)&gt;=6,UcretHaftaSonu,IF(OR(C417&gt;=AksamBas,C417&lt;TIME(6,0,0)),UcretAksam,UcretGunduz)))</f>
        <v/>
      </c>
      <c r="I417" s="19" t="n"/>
      <c r="J417" s="17" t="n"/>
      <c r="K417" s="19">
        <f>IF(H417="","",IF(J417="Evet",0,H417-N(I417)))</f>
        <v/>
      </c>
      <c r="L417" s="17" t="n"/>
      <c r="M417" s="17" t="n"/>
      <c r="N417">
        <f>IF(OR(A417="",C417="",D417="",L417="İptal"),"",IFERROR(INT(A417)*100000+ROUND(C417*1440,0)*10+MATCH(D417,Sahalar,0),""))</f>
        <v/>
      </c>
    </row>
    <row r="418">
      <c r="A418" s="16" t="n"/>
      <c r="B418" s="17">
        <f>IF(A418="","",CHOOSE(WEEKDAY(A418,2),"Pzt","Sal","Çar","Per","Cum","Cmt","Paz"))</f>
        <v/>
      </c>
      <c r="C418" s="18" t="n"/>
      <c r="D418" s="17" t="n"/>
      <c r="E418" s="17" t="n"/>
      <c r="F418" s="17" t="n"/>
      <c r="G418" s="17" t="n"/>
      <c r="H418" s="19">
        <f>IF(OR(A418="",C418=""),"",IF(WEEKDAY(A418,2)&gt;=6,UcretHaftaSonu,IF(OR(C418&gt;=AksamBas,C418&lt;TIME(6,0,0)),UcretAksam,UcretGunduz)))</f>
        <v/>
      </c>
      <c r="I418" s="19" t="n"/>
      <c r="J418" s="17" t="n"/>
      <c r="K418" s="19">
        <f>IF(H418="","",IF(J418="Evet",0,H418-N(I418)))</f>
        <v/>
      </c>
      <c r="L418" s="17" t="n"/>
      <c r="M418" s="17" t="n"/>
      <c r="N418">
        <f>IF(OR(A418="",C418="",D418="",L418="İptal"),"",IFERROR(INT(A418)*100000+ROUND(C418*1440,0)*10+MATCH(D418,Sahalar,0),""))</f>
        <v/>
      </c>
    </row>
    <row r="419">
      <c r="A419" s="16" t="n"/>
      <c r="B419" s="17">
        <f>IF(A419="","",CHOOSE(WEEKDAY(A419,2),"Pzt","Sal","Çar","Per","Cum","Cmt","Paz"))</f>
        <v/>
      </c>
      <c r="C419" s="18" t="n"/>
      <c r="D419" s="17" t="n"/>
      <c r="E419" s="17" t="n"/>
      <c r="F419" s="17" t="n"/>
      <c r="G419" s="17" t="n"/>
      <c r="H419" s="19">
        <f>IF(OR(A419="",C419=""),"",IF(WEEKDAY(A419,2)&gt;=6,UcretHaftaSonu,IF(OR(C419&gt;=AksamBas,C419&lt;TIME(6,0,0)),UcretAksam,UcretGunduz)))</f>
        <v/>
      </c>
      <c r="I419" s="19" t="n"/>
      <c r="J419" s="17" t="n"/>
      <c r="K419" s="19">
        <f>IF(H419="","",IF(J419="Evet",0,H419-N(I419)))</f>
        <v/>
      </c>
      <c r="L419" s="17" t="n"/>
      <c r="M419" s="17" t="n"/>
      <c r="N419">
        <f>IF(OR(A419="",C419="",D419="",L419="İptal"),"",IFERROR(INT(A419)*100000+ROUND(C419*1440,0)*10+MATCH(D419,Sahalar,0),""))</f>
        <v/>
      </c>
    </row>
    <row r="420">
      <c r="A420" s="16" t="n"/>
      <c r="B420" s="17">
        <f>IF(A420="","",CHOOSE(WEEKDAY(A420,2),"Pzt","Sal","Çar","Per","Cum","Cmt","Paz"))</f>
        <v/>
      </c>
      <c r="C420" s="18" t="n"/>
      <c r="D420" s="17" t="n"/>
      <c r="E420" s="17" t="n"/>
      <c r="F420" s="17" t="n"/>
      <c r="G420" s="17" t="n"/>
      <c r="H420" s="19">
        <f>IF(OR(A420="",C420=""),"",IF(WEEKDAY(A420,2)&gt;=6,UcretHaftaSonu,IF(OR(C420&gt;=AksamBas,C420&lt;TIME(6,0,0)),UcretAksam,UcretGunduz)))</f>
        <v/>
      </c>
      <c r="I420" s="19" t="n"/>
      <c r="J420" s="17" t="n"/>
      <c r="K420" s="19">
        <f>IF(H420="","",IF(J420="Evet",0,H420-N(I420)))</f>
        <v/>
      </c>
      <c r="L420" s="17" t="n"/>
      <c r="M420" s="17" t="n"/>
      <c r="N420">
        <f>IF(OR(A420="",C420="",D420="",L420="İptal"),"",IFERROR(INT(A420)*100000+ROUND(C420*1440,0)*10+MATCH(D420,Sahalar,0),""))</f>
        <v/>
      </c>
    </row>
    <row r="421">
      <c r="A421" s="16" t="n"/>
      <c r="B421" s="17">
        <f>IF(A421="","",CHOOSE(WEEKDAY(A421,2),"Pzt","Sal","Çar","Per","Cum","Cmt","Paz"))</f>
        <v/>
      </c>
      <c r="C421" s="18" t="n"/>
      <c r="D421" s="17" t="n"/>
      <c r="E421" s="17" t="n"/>
      <c r="F421" s="17" t="n"/>
      <c r="G421" s="17" t="n"/>
      <c r="H421" s="19">
        <f>IF(OR(A421="",C421=""),"",IF(WEEKDAY(A421,2)&gt;=6,UcretHaftaSonu,IF(OR(C421&gt;=AksamBas,C421&lt;TIME(6,0,0)),UcretAksam,UcretGunduz)))</f>
        <v/>
      </c>
      <c r="I421" s="19" t="n"/>
      <c r="J421" s="17" t="n"/>
      <c r="K421" s="19">
        <f>IF(H421="","",IF(J421="Evet",0,H421-N(I421)))</f>
        <v/>
      </c>
      <c r="L421" s="17" t="n"/>
      <c r="M421" s="17" t="n"/>
      <c r="N421">
        <f>IF(OR(A421="",C421="",D421="",L421="İptal"),"",IFERROR(INT(A421)*100000+ROUND(C421*1440,0)*10+MATCH(D421,Sahalar,0),""))</f>
        <v/>
      </c>
    </row>
    <row r="422">
      <c r="A422" s="16" t="n"/>
      <c r="B422" s="17">
        <f>IF(A422="","",CHOOSE(WEEKDAY(A422,2),"Pzt","Sal","Çar","Per","Cum","Cmt","Paz"))</f>
        <v/>
      </c>
      <c r="C422" s="18" t="n"/>
      <c r="D422" s="17" t="n"/>
      <c r="E422" s="17" t="n"/>
      <c r="F422" s="17" t="n"/>
      <c r="G422" s="17" t="n"/>
      <c r="H422" s="19">
        <f>IF(OR(A422="",C422=""),"",IF(WEEKDAY(A422,2)&gt;=6,UcretHaftaSonu,IF(OR(C422&gt;=AksamBas,C422&lt;TIME(6,0,0)),UcretAksam,UcretGunduz)))</f>
        <v/>
      </c>
      <c r="I422" s="19" t="n"/>
      <c r="J422" s="17" t="n"/>
      <c r="K422" s="19">
        <f>IF(H422="","",IF(J422="Evet",0,H422-N(I422)))</f>
        <v/>
      </c>
      <c r="L422" s="17" t="n"/>
      <c r="M422" s="17" t="n"/>
      <c r="N422">
        <f>IF(OR(A422="",C422="",D422="",L422="İptal"),"",IFERROR(INT(A422)*100000+ROUND(C422*1440,0)*10+MATCH(D422,Sahalar,0),""))</f>
        <v/>
      </c>
    </row>
    <row r="423">
      <c r="A423" s="16" t="n"/>
      <c r="B423" s="17">
        <f>IF(A423="","",CHOOSE(WEEKDAY(A423,2),"Pzt","Sal","Çar","Per","Cum","Cmt","Paz"))</f>
        <v/>
      </c>
      <c r="C423" s="18" t="n"/>
      <c r="D423" s="17" t="n"/>
      <c r="E423" s="17" t="n"/>
      <c r="F423" s="17" t="n"/>
      <c r="G423" s="17" t="n"/>
      <c r="H423" s="19">
        <f>IF(OR(A423="",C423=""),"",IF(WEEKDAY(A423,2)&gt;=6,UcretHaftaSonu,IF(OR(C423&gt;=AksamBas,C423&lt;TIME(6,0,0)),UcretAksam,UcretGunduz)))</f>
        <v/>
      </c>
      <c r="I423" s="19" t="n"/>
      <c r="J423" s="17" t="n"/>
      <c r="K423" s="19">
        <f>IF(H423="","",IF(J423="Evet",0,H423-N(I423)))</f>
        <v/>
      </c>
      <c r="L423" s="17" t="n"/>
      <c r="M423" s="17" t="n"/>
      <c r="N423">
        <f>IF(OR(A423="",C423="",D423="",L423="İptal"),"",IFERROR(INT(A423)*100000+ROUND(C423*1440,0)*10+MATCH(D423,Sahalar,0),""))</f>
        <v/>
      </c>
    </row>
    <row r="424">
      <c r="A424" s="16" t="n"/>
      <c r="B424" s="17">
        <f>IF(A424="","",CHOOSE(WEEKDAY(A424,2),"Pzt","Sal","Çar","Per","Cum","Cmt","Paz"))</f>
        <v/>
      </c>
      <c r="C424" s="18" t="n"/>
      <c r="D424" s="17" t="n"/>
      <c r="E424" s="17" t="n"/>
      <c r="F424" s="17" t="n"/>
      <c r="G424" s="17" t="n"/>
      <c r="H424" s="19">
        <f>IF(OR(A424="",C424=""),"",IF(WEEKDAY(A424,2)&gt;=6,UcretHaftaSonu,IF(OR(C424&gt;=AksamBas,C424&lt;TIME(6,0,0)),UcretAksam,UcretGunduz)))</f>
        <v/>
      </c>
      <c r="I424" s="19" t="n"/>
      <c r="J424" s="17" t="n"/>
      <c r="K424" s="19">
        <f>IF(H424="","",IF(J424="Evet",0,H424-N(I424)))</f>
        <v/>
      </c>
      <c r="L424" s="17" t="n"/>
      <c r="M424" s="17" t="n"/>
      <c r="N424">
        <f>IF(OR(A424="",C424="",D424="",L424="İptal"),"",IFERROR(INT(A424)*100000+ROUND(C424*1440,0)*10+MATCH(D424,Sahalar,0),""))</f>
        <v/>
      </c>
    </row>
    <row r="425">
      <c r="A425" s="16" t="n"/>
      <c r="B425" s="17">
        <f>IF(A425="","",CHOOSE(WEEKDAY(A425,2),"Pzt","Sal","Çar","Per","Cum","Cmt","Paz"))</f>
        <v/>
      </c>
      <c r="C425" s="18" t="n"/>
      <c r="D425" s="17" t="n"/>
      <c r="E425" s="17" t="n"/>
      <c r="F425" s="17" t="n"/>
      <c r="G425" s="17" t="n"/>
      <c r="H425" s="19">
        <f>IF(OR(A425="",C425=""),"",IF(WEEKDAY(A425,2)&gt;=6,UcretHaftaSonu,IF(OR(C425&gt;=AksamBas,C425&lt;TIME(6,0,0)),UcretAksam,UcretGunduz)))</f>
        <v/>
      </c>
      <c r="I425" s="19" t="n"/>
      <c r="J425" s="17" t="n"/>
      <c r="K425" s="19">
        <f>IF(H425="","",IF(J425="Evet",0,H425-N(I425)))</f>
        <v/>
      </c>
      <c r="L425" s="17" t="n"/>
      <c r="M425" s="17" t="n"/>
      <c r="N425">
        <f>IF(OR(A425="",C425="",D425="",L425="İptal"),"",IFERROR(INT(A425)*100000+ROUND(C425*1440,0)*10+MATCH(D425,Sahalar,0),""))</f>
        <v/>
      </c>
    </row>
    <row r="426">
      <c r="A426" s="16" t="n"/>
      <c r="B426" s="17">
        <f>IF(A426="","",CHOOSE(WEEKDAY(A426,2),"Pzt","Sal","Çar","Per","Cum","Cmt","Paz"))</f>
        <v/>
      </c>
      <c r="C426" s="18" t="n"/>
      <c r="D426" s="17" t="n"/>
      <c r="E426" s="17" t="n"/>
      <c r="F426" s="17" t="n"/>
      <c r="G426" s="17" t="n"/>
      <c r="H426" s="19">
        <f>IF(OR(A426="",C426=""),"",IF(WEEKDAY(A426,2)&gt;=6,UcretHaftaSonu,IF(OR(C426&gt;=AksamBas,C426&lt;TIME(6,0,0)),UcretAksam,UcretGunduz)))</f>
        <v/>
      </c>
      <c r="I426" s="19" t="n"/>
      <c r="J426" s="17" t="n"/>
      <c r="K426" s="19">
        <f>IF(H426="","",IF(J426="Evet",0,H426-N(I426)))</f>
        <v/>
      </c>
      <c r="L426" s="17" t="n"/>
      <c r="M426" s="17" t="n"/>
      <c r="N426">
        <f>IF(OR(A426="",C426="",D426="",L426="İptal"),"",IFERROR(INT(A426)*100000+ROUND(C426*1440,0)*10+MATCH(D426,Sahalar,0),""))</f>
        <v/>
      </c>
    </row>
    <row r="427">
      <c r="A427" s="16" t="n"/>
      <c r="B427" s="17">
        <f>IF(A427="","",CHOOSE(WEEKDAY(A427,2),"Pzt","Sal","Çar","Per","Cum","Cmt","Paz"))</f>
        <v/>
      </c>
      <c r="C427" s="18" t="n"/>
      <c r="D427" s="17" t="n"/>
      <c r="E427" s="17" t="n"/>
      <c r="F427" s="17" t="n"/>
      <c r="G427" s="17" t="n"/>
      <c r="H427" s="19">
        <f>IF(OR(A427="",C427=""),"",IF(WEEKDAY(A427,2)&gt;=6,UcretHaftaSonu,IF(OR(C427&gt;=AksamBas,C427&lt;TIME(6,0,0)),UcretAksam,UcretGunduz)))</f>
        <v/>
      </c>
      <c r="I427" s="19" t="n"/>
      <c r="J427" s="17" t="n"/>
      <c r="K427" s="19">
        <f>IF(H427="","",IF(J427="Evet",0,H427-N(I427)))</f>
        <v/>
      </c>
      <c r="L427" s="17" t="n"/>
      <c r="M427" s="17" t="n"/>
      <c r="N427">
        <f>IF(OR(A427="",C427="",D427="",L427="İptal"),"",IFERROR(INT(A427)*100000+ROUND(C427*1440,0)*10+MATCH(D427,Sahalar,0),""))</f>
        <v/>
      </c>
    </row>
    <row r="428">
      <c r="A428" s="16" t="n"/>
      <c r="B428" s="17">
        <f>IF(A428="","",CHOOSE(WEEKDAY(A428,2),"Pzt","Sal","Çar","Per","Cum","Cmt","Paz"))</f>
        <v/>
      </c>
      <c r="C428" s="18" t="n"/>
      <c r="D428" s="17" t="n"/>
      <c r="E428" s="17" t="n"/>
      <c r="F428" s="17" t="n"/>
      <c r="G428" s="17" t="n"/>
      <c r="H428" s="19">
        <f>IF(OR(A428="",C428=""),"",IF(WEEKDAY(A428,2)&gt;=6,UcretHaftaSonu,IF(OR(C428&gt;=AksamBas,C428&lt;TIME(6,0,0)),UcretAksam,UcretGunduz)))</f>
        <v/>
      </c>
      <c r="I428" s="19" t="n"/>
      <c r="J428" s="17" t="n"/>
      <c r="K428" s="19">
        <f>IF(H428="","",IF(J428="Evet",0,H428-N(I428)))</f>
        <v/>
      </c>
      <c r="L428" s="17" t="n"/>
      <c r="M428" s="17" t="n"/>
      <c r="N428">
        <f>IF(OR(A428="",C428="",D428="",L428="İptal"),"",IFERROR(INT(A428)*100000+ROUND(C428*1440,0)*10+MATCH(D428,Sahalar,0),""))</f>
        <v/>
      </c>
    </row>
    <row r="429">
      <c r="A429" s="16" t="n"/>
      <c r="B429" s="17">
        <f>IF(A429="","",CHOOSE(WEEKDAY(A429,2),"Pzt","Sal","Çar","Per","Cum","Cmt","Paz"))</f>
        <v/>
      </c>
      <c r="C429" s="18" t="n"/>
      <c r="D429" s="17" t="n"/>
      <c r="E429" s="17" t="n"/>
      <c r="F429" s="17" t="n"/>
      <c r="G429" s="17" t="n"/>
      <c r="H429" s="19">
        <f>IF(OR(A429="",C429=""),"",IF(WEEKDAY(A429,2)&gt;=6,UcretHaftaSonu,IF(OR(C429&gt;=AksamBas,C429&lt;TIME(6,0,0)),UcretAksam,UcretGunduz)))</f>
        <v/>
      </c>
      <c r="I429" s="19" t="n"/>
      <c r="J429" s="17" t="n"/>
      <c r="K429" s="19">
        <f>IF(H429="","",IF(J429="Evet",0,H429-N(I429)))</f>
        <v/>
      </c>
      <c r="L429" s="17" t="n"/>
      <c r="M429" s="17" t="n"/>
      <c r="N429">
        <f>IF(OR(A429="",C429="",D429="",L429="İptal"),"",IFERROR(INT(A429)*100000+ROUND(C429*1440,0)*10+MATCH(D429,Sahalar,0),""))</f>
        <v/>
      </c>
    </row>
    <row r="430">
      <c r="A430" s="16" t="n"/>
      <c r="B430" s="17">
        <f>IF(A430="","",CHOOSE(WEEKDAY(A430,2),"Pzt","Sal","Çar","Per","Cum","Cmt","Paz"))</f>
        <v/>
      </c>
      <c r="C430" s="18" t="n"/>
      <c r="D430" s="17" t="n"/>
      <c r="E430" s="17" t="n"/>
      <c r="F430" s="17" t="n"/>
      <c r="G430" s="17" t="n"/>
      <c r="H430" s="19">
        <f>IF(OR(A430="",C430=""),"",IF(WEEKDAY(A430,2)&gt;=6,UcretHaftaSonu,IF(OR(C430&gt;=AksamBas,C430&lt;TIME(6,0,0)),UcretAksam,UcretGunduz)))</f>
        <v/>
      </c>
      <c r="I430" s="19" t="n"/>
      <c r="J430" s="17" t="n"/>
      <c r="K430" s="19">
        <f>IF(H430="","",IF(J430="Evet",0,H430-N(I430)))</f>
        <v/>
      </c>
      <c r="L430" s="17" t="n"/>
      <c r="M430" s="17" t="n"/>
      <c r="N430">
        <f>IF(OR(A430="",C430="",D430="",L430="İptal"),"",IFERROR(INT(A430)*100000+ROUND(C430*1440,0)*10+MATCH(D430,Sahalar,0),""))</f>
        <v/>
      </c>
    </row>
    <row r="431">
      <c r="A431" s="16" t="n"/>
      <c r="B431" s="17">
        <f>IF(A431="","",CHOOSE(WEEKDAY(A431,2),"Pzt","Sal","Çar","Per","Cum","Cmt","Paz"))</f>
        <v/>
      </c>
      <c r="C431" s="18" t="n"/>
      <c r="D431" s="17" t="n"/>
      <c r="E431" s="17" t="n"/>
      <c r="F431" s="17" t="n"/>
      <c r="G431" s="17" t="n"/>
      <c r="H431" s="19">
        <f>IF(OR(A431="",C431=""),"",IF(WEEKDAY(A431,2)&gt;=6,UcretHaftaSonu,IF(OR(C431&gt;=AksamBas,C431&lt;TIME(6,0,0)),UcretAksam,UcretGunduz)))</f>
        <v/>
      </c>
      <c r="I431" s="19" t="n"/>
      <c r="J431" s="17" t="n"/>
      <c r="K431" s="19">
        <f>IF(H431="","",IF(J431="Evet",0,H431-N(I431)))</f>
        <v/>
      </c>
      <c r="L431" s="17" t="n"/>
      <c r="M431" s="17" t="n"/>
      <c r="N431">
        <f>IF(OR(A431="",C431="",D431="",L431="İptal"),"",IFERROR(INT(A431)*100000+ROUND(C431*1440,0)*10+MATCH(D431,Sahalar,0),""))</f>
        <v/>
      </c>
    </row>
    <row r="432">
      <c r="A432" s="16" t="n"/>
      <c r="B432" s="17">
        <f>IF(A432="","",CHOOSE(WEEKDAY(A432,2),"Pzt","Sal","Çar","Per","Cum","Cmt","Paz"))</f>
        <v/>
      </c>
      <c r="C432" s="18" t="n"/>
      <c r="D432" s="17" t="n"/>
      <c r="E432" s="17" t="n"/>
      <c r="F432" s="17" t="n"/>
      <c r="G432" s="17" t="n"/>
      <c r="H432" s="19">
        <f>IF(OR(A432="",C432=""),"",IF(WEEKDAY(A432,2)&gt;=6,UcretHaftaSonu,IF(OR(C432&gt;=AksamBas,C432&lt;TIME(6,0,0)),UcretAksam,UcretGunduz)))</f>
        <v/>
      </c>
      <c r="I432" s="19" t="n"/>
      <c r="J432" s="17" t="n"/>
      <c r="K432" s="19">
        <f>IF(H432="","",IF(J432="Evet",0,H432-N(I432)))</f>
        <v/>
      </c>
      <c r="L432" s="17" t="n"/>
      <c r="M432" s="17" t="n"/>
      <c r="N432">
        <f>IF(OR(A432="",C432="",D432="",L432="İptal"),"",IFERROR(INT(A432)*100000+ROUND(C432*1440,0)*10+MATCH(D432,Sahalar,0),""))</f>
        <v/>
      </c>
    </row>
    <row r="433">
      <c r="A433" s="16" t="n"/>
      <c r="B433" s="17">
        <f>IF(A433="","",CHOOSE(WEEKDAY(A433,2),"Pzt","Sal","Çar","Per","Cum","Cmt","Paz"))</f>
        <v/>
      </c>
      <c r="C433" s="18" t="n"/>
      <c r="D433" s="17" t="n"/>
      <c r="E433" s="17" t="n"/>
      <c r="F433" s="17" t="n"/>
      <c r="G433" s="17" t="n"/>
      <c r="H433" s="19">
        <f>IF(OR(A433="",C433=""),"",IF(WEEKDAY(A433,2)&gt;=6,UcretHaftaSonu,IF(OR(C433&gt;=AksamBas,C433&lt;TIME(6,0,0)),UcretAksam,UcretGunduz)))</f>
        <v/>
      </c>
      <c r="I433" s="19" t="n"/>
      <c r="J433" s="17" t="n"/>
      <c r="K433" s="19">
        <f>IF(H433="","",IF(J433="Evet",0,H433-N(I433)))</f>
        <v/>
      </c>
      <c r="L433" s="17" t="n"/>
      <c r="M433" s="17" t="n"/>
      <c r="N433">
        <f>IF(OR(A433="",C433="",D433="",L433="İptal"),"",IFERROR(INT(A433)*100000+ROUND(C433*1440,0)*10+MATCH(D433,Sahalar,0),""))</f>
        <v/>
      </c>
    </row>
    <row r="434">
      <c r="A434" s="16" t="n"/>
      <c r="B434" s="17">
        <f>IF(A434="","",CHOOSE(WEEKDAY(A434,2),"Pzt","Sal","Çar","Per","Cum","Cmt","Paz"))</f>
        <v/>
      </c>
      <c r="C434" s="18" t="n"/>
      <c r="D434" s="17" t="n"/>
      <c r="E434" s="17" t="n"/>
      <c r="F434" s="17" t="n"/>
      <c r="G434" s="17" t="n"/>
      <c r="H434" s="19">
        <f>IF(OR(A434="",C434=""),"",IF(WEEKDAY(A434,2)&gt;=6,UcretHaftaSonu,IF(OR(C434&gt;=AksamBas,C434&lt;TIME(6,0,0)),UcretAksam,UcretGunduz)))</f>
        <v/>
      </c>
      <c r="I434" s="19" t="n"/>
      <c r="J434" s="17" t="n"/>
      <c r="K434" s="19">
        <f>IF(H434="","",IF(J434="Evet",0,H434-N(I434)))</f>
        <v/>
      </c>
      <c r="L434" s="17" t="n"/>
      <c r="M434" s="17" t="n"/>
      <c r="N434">
        <f>IF(OR(A434="",C434="",D434="",L434="İptal"),"",IFERROR(INT(A434)*100000+ROUND(C434*1440,0)*10+MATCH(D434,Sahalar,0),""))</f>
        <v/>
      </c>
    </row>
    <row r="435">
      <c r="A435" s="16" t="n"/>
      <c r="B435" s="17">
        <f>IF(A435="","",CHOOSE(WEEKDAY(A435,2),"Pzt","Sal","Çar","Per","Cum","Cmt","Paz"))</f>
        <v/>
      </c>
      <c r="C435" s="18" t="n"/>
      <c r="D435" s="17" t="n"/>
      <c r="E435" s="17" t="n"/>
      <c r="F435" s="17" t="n"/>
      <c r="G435" s="17" t="n"/>
      <c r="H435" s="19">
        <f>IF(OR(A435="",C435=""),"",IF(WEEKDAY(A435,2)&gt;=6,UcretHaftaSonu,IF(OR(C435&gt;=AksamBas,C435&lt;TIME(6,0,0)),UcretAksam,UcretGunduz)))</f>
        <v/>
      </c>
      <c r="I435" s="19" t="n"/>
      <c r="J435" s="17" t="n"/>
      <c r="K435" s="19">
        <f>IF(H435="","",IF(J435="Evet",0,H435-N(I435)))</f>
        <v/>
      </c>
      <c r="L435" s="17" t="n"/>
      <c r="M435" s="17" t="n"/>
      <c r="N435">
        <f>IF(OR(A435="",C435="",D435="",L435="İptal"),"",IFERROR(INT(A435)*100000+ROUND(C435*1440,0)*10+MATCH(D435,Sahalar,0),""))</f>
        <v/>
      </c>
    </row>
    <row r="436">
      <c r="A436" s="16" t="n"/>
      <c r="B436" s="17">
        <f>IF(A436="","",CHOOSE(WEEKDAY(A436,2),"Pzt","Sal","Çar","Per","Cum","Cmt","Paz"))</f>
        <v/>
      </c>
      <c r="C436" s="18" t="n"/>
      <c r="D436" s="17" t="n"/>
      <c r="E436" s="17" t="n"/>
      <c r="F436" s="17" t="n"/>
      <c r="G436" s="17" t="n"/>
      <c r="H436" s="19">
        <f>IF(OR(A436="",C436=""),"",IF(WEEKDAY(A436,2)&gt;=6,UcretHaftaSonu,IF(OR(C436&gt;=AksamBas,C436&lt;TIME(6,0,0)),UcretAksam,UcretGunduz)))</f>
        <v/>
      </c>
      <c r="I436" s="19" t="n"/>
      <c r="J436" s="17" t="n"/>
      <c r="K436" s="19">
        <f>IF(H436="","",IF(J436="Evet",0,H436-N(I436)))</f>
        <v/>
      </c>
      <c r="L436" s="17" t="n"/>
      <c r="M436" s="17" t="n"/>
      <c r="N436">
        <f>IF(OR(A436="",C436="",D436="",L436="İptal"),"",IFERROR(INT(A436)*100000+ROUND(C436*1440,0)*10+MATCH(D436,Sahalar,0),""))</f>
        <v/>
      </c>
    </row>
    <row r="437">
      <c r="A437" s="16" t="n"/>
      <c r="B437" s="17">
        <f>IF(A437="","",CHOOSE(WEEKDAY(A437,2),"Pzt","Sal","Çar","Per","Cum","Cmt","Paz"))</f>
        <v/>
      </c>
      <c r="C437" s="18" t="n"/>
      <c r="D437" s="17" t="n"/>
      <c r="E437" s="17" t="n"/>
      <c r="F437" s="17" t="n"/>
      <c r="G437" s="17" t="n"/>
      <c r="H437" s="19">
        <f>IF(OR(A437="",C437=""),"",IF(WEEKDAY(A437,2)&gt;=6,UcretHaftaSonu,IF(OR(C437&gt;=AksamBas,C437&lt;TIME(6,0,0)),UcretAksam,UcretGunduz)))</f>
        <v/>
      </c>
      <c r="I437" s="19" t="n"/>
      <c r="J437" s="17" t="n"/>
      <c r="K437" s="19">
        <f>IF(H437="","",IF(J437="Evet",0,H437-N(I437)))</f>
        <v/>
      </c>
      <c r="L437" s="17" t="n"/>
      <c r="M437" s="17" t="n"/>
      <c r="N437">
        <f>IF(OR(A437="",C437="",D437="",L437="İptal"),"",IFERROR(INT(A437)*100000+ROUND(C437*1440,0)*10+MATCH(D437,Sahalar,0),""))</f>
        <v/>
      </c>
    </row>
    <row r="438">
      <c r="A438" s="16" t="n"/>
      <c r="B438" s="17">
        <f>IF(A438="","",CHOOSE(WEEKDAY(A438,2),"Pzt","Sal","Çar","Per","Cum","Cmt","Paz"))</f>
        <v/>
      </c>
      <c r="C438" s="18" t="n"/>
      <c r="D438" s="17" t="n"/>
      <c r="E438" s="17" t="n"/>
      <c r="F438" s="17" t="n"/>
      <c r="G438" s="17" t="n"/>
      <c r="H438" s="19">
        <f>IF(OR(A438="",C438=""),"",IF(WEEKDAY(A438,2)&gt;=6,UcretHaftaSonu,IF(OR(C438&gt;=AksamBas,C438&lt;TIME(6,0,0)),UcretAksam,UcretGunduz)))</f>
        <v/>
      </c>
      <c r="I438" s="19" t="n"/>
      <c r="J438" s="17" t="n"/>
      <c r="K438" s="19">
        <f>IF(H438="","",IF(J438="Evet",0,H438-N(I438)))</f>
        <v/>
      </c>
      <c r="L438" s="17" t="n"/>
      <c r="M438" s="17" t="n"/>
      <c r="N438">
        <f>IF(OR(A438="",C438="",D438="",L438="İptal"),"",IFERROR(INT(A438)*100000+ROUND(C438*1440,0)*10+MATCH(D438,Sahalar,0),""))</f>
        <v/>
      </c>
    </row>
    <row r="439">
      <c r="A439" s="16" t="n"/>
      <c r="B439" s="17">
        <f>IF(A439="","",CHOOSE(WEEKDAY(A439,2),"Pzt","Sal","Çar","Per","Cum","Cmt","Paz"))</f>
        <v/>
      </c>
      <c r="C439" s="18" t="n"/>
      <c r="D439" s="17" t="n"/>
      <c r="E439" s="17" t="n"/>
      <c r="F439" s="17" t="n"/>
      <c r="G439" s="17" t="n"/>
      <c r="H439" s="19">
        <f>IF(OR(A439="",C439=""),"",IF(WEEKDAY(A439,2)&gt;=6,UcretHaftaSonu,IF(OR(C439&gt;=AksamBas,C439&lt;TIME(6,0,0)),UcretAksam,UcretGunduz)))</f>
        <v/>
      </c>
      <c r="I439" s="19" t="n"/>
      <c r="J439" s="17" t="n"/>
      <c r="K439" s="19">
        <f>IF(H439="","",IF(J439="Evet",0,H439-N(I439)))</f>
        <v/>
      </c>
      <c r="L439" s="17" t="n"/>
      <c r="M439" s="17" t="n"/>
      <c r="N439">
        <f>IF(OR(A439="",C439="",D439="",L439="İptal"),"",IFERROR(INT(A439)*100000+ROUND(C439*1440,0)*10+MATCH(D439,Sahalar,0),""))</f>
        <v/>
      </c>
    </row>
    <row r="440">
      <c r="A440" s="16" t="n"/>
      <c r="B440" s="17">
        <f>IF(A440="","",CHOOSE(WEEKDAY(A440,2),"Pzt","Sal","Çar","Per","Cum","Cmt","Paz"))</f>
        <v/>
      </c>
      <c r="C440" s="18" t="n"/>
      <c r="D440" s="17" t="n"/>
      <c r="E440" s="17" t="n"/>
      <c r="F440" s="17" t="n"/>
      <c r="G440" s="17" t="n"/>
      <c r="H440" s="19">
        <f>IF(OR(A440="",C440=""),"",IF(WEEKDAY(A440,2)&gt;=6,UcretHaftaSonu,IF(OR(C440&gt;=AksamBas,C440&lt;TIME(6,0,0)),UcretAksam,UcretGunduz)))</f>
        <v/>
      </c>
      <c r="I440" s="19" t="n"/>
      <c r="J440" s="17" t="n"/>
      <c r="K440" s="19">
        <f>IF(H440="","",IF(J440="Evet",0,H440-N(I440)))</f>
        <v/>
      </c>
      <c r="L440" s="17" t="n"/>
      <c r="M440" s="17" t="n"/>
      <c r="N440">
        <f>IF(OR(A440="",C440="",D440="",L440="İptal"),"",IFERROR(INT(A440)*100000+ROUND(C440*1440,0)*10+MATCH(D440,Sahalar,0),""))</f>
        <v/>
      </c>
    </row>
    <row r="441">
      <c r="A441" s="16" t="n"/>
      <c r="B441" s="17">
        <f>IF(A441="","",CHOOSE(WEEKDAY(A441,2),"Pzt","Sal","Çar","Per","Cum","Cmt","Paz"))</f>
        <v/>
      </c>
      <c r="C441" s="18" t="n"/>
      <c r="D441" s="17" t="n"/>
      <c r="E441" s="17" t="n"/>
      <c r="F441" s="17" t="n"/>
      <c r="G441" s="17" t="n"/>
      <c r="H441" s="19">
        <f>IF(OR(A441="",C441=""),"",IF(WEEKDAY(A441,2)&gt;=6,UcretHaftaSonu,IF(OR(C441&gt;=AksamBas,C441&lt;TIME(6,0,0)),UcretAksam,UcretGunduz)))</f>
        <v/>
      </c>
      <c r="I441" s="19" t="n"/>
      <c r="J441" s="17" t="n"/>
      <c r="K441" s="19">
        <f>IF(H441="","",IF(J441="Evet",0,H441-N(I441)))</f>
        <v/>
      </c>
      <c r="L441" s="17" t="n"/>
      <c r="M441" s="17" t="n"/>
      <c r="N441">
        <f>IF(OR(A441="",C441="",D441="",L441="İptal"),"",IFERROR(INT(A441)*100000+ROUND(C441*1440,0)*10+MATCH(D441,Sahalar,0),""))</f>
        <v/>
      </c>
    </row>
    <row r="442">
      <c r="A442" s="16" t="n"/>
      <c r="B442" s="17">
        <f>IF(A442="","",CHOOSE(WEEKDAY(A442,2),"Pzt","Sal","Çar","Per","Cum","Cmt","Paz"))</f>
        <v/>
      </c>
      <c r="C442" s="18" t="n"/>
      <c r="D442" s="17" t="n"/>
      <c r="E442" s="17" t="n"/>
      <c r="F442" s="17" t="n"/>
      <c r="G442" s="17" t="n"/>
      <c r="H442" s="19">
        <f>IF(OR(A442="",C442=""),"",IF(WEEKDAY(A442,2)&gt;=6,UcretHaftaSonu,IF(OR(C442&gt;=AksamBas,C442&lt;TIME(6,0,0)),UcretAksam,UcretGunduz)))</f>
        <v/>
      </c>
      <c r="I442" s="19" t="n"/>
      <c r="J442" s="17" t="n"/>
      <c r="K442" s="19">
        <f>IF(H442="","",IF(J442="Evet",0,H442-N(I442)))</f>
        <v/>
      </c>
      <c r="L442" s="17" t="n"/>
      <c r="M442" s="17" t="n"/>
      <c r="N442">
        <f>IF(OR(A442="",C442="",D442="",L442="İptal"),"",IFERROR(INT(A442)*100000+ROUND(C442*1440,0)*10+MATCH(D442,Sahalar,0),""))</f>
        <v/>
      </c>
    </row>
    <row r="443">
      <c r="A443" s="16" t="n"/>
      <c r="B443" s="17">
        <f>IF(A443="","",CHOOSE(WEEKDAY(A443,2),"Pzt","Sal","Çar","Per","Cum","Cmt","Paz"))</f>
        <v/>
      </c>
      <c r="C443" s="18" t="n"/>
      <c r="D443" s="17" t="n"/>
      <c r="E443" s="17" t="n"/>
      <c r="F443" s="17" t="n"/>
      <c r="G443" s="17" t="n"/>
      <c r="H443" s="19">
        <f>IF(OR(A443="",C443=""),"",IF(WEEKDAY(A443,2)&gt;=6,UcretHaftaSonu,IF(OR(C443&gt;=AksamBas,C443&lt;TIME(6,0,0)),UcretAksam,UcretGunduz)))</f>
        <v/>
      </c>
      <c r="I443" s="19" t="n"/>
      <c r="J443" s="17" t="n"/>
      <c r="K443" s="19">
        <f>IF(H443="","",IF(J443="Evet",0,H443-N(I443)))</f>
        <v/>
      </c>
      <c r="L443" s="17" t="n"/>
      <c r="M443" s="17" t="n"/>
      <c r="N443">
        <f>IF(OR(A443="",C443="",D443="",L443="İptal"),"",IFERROR(INT(A443)*100000+ROUND(C443*1440,0)*10+MATCH(D443,Sahalar,0),""))</f>
        <v/>
      </c>
    </row>
    <row r="444">
      <c r="A444" s="16" t="n"/>
      <c r="B444" s="17">
        <f>IF(A444="","",CHOOSE(WEEKDAY(A444,2),"Pzt","Sal","Çar","Per","Cum","Cmt","Paz"))</f>
        <v/>
      </c>
      <c r="C444" s="18" t="n"/>
      <c r="D444" s="17" t="n"/>
      <c r="E444" s="17" t="n"/>
      <c r="F444" s="17" t="n"/>
      <c r="G444" s="17" t="n"/>
      <c r="H444" s="19">
        <f>IF(OR(A444="",C444=""),"",IF(WEEKDAY(A444,2)&gt;=6,UcretHaftaSonu,IF(OR(C444&gt;=AksamBas,C444&lt;TIME(6,0,0)),UcretAksam,UcretGunduz)))</f>
        <v/>
      </c>
      <c r="I444" s="19" t="n"/>
      <c r="J444" s="17" t="n"/>
      <c r="K444" s="19">
        <f>IF(H444="","",IF(J444="Evet",0,H444-N(I444)))</f>
        <v/>
      </c>
      <c r="L444" s="17" t="n"/>
      <c r="M444" s="17" t="n"/>
      <c r="N444">
        <f>IF(OR(A444="",C444="",D444="",L444="İptal"),"",IFERROR(INT(A444)*100000+ROUND(C444*1440,0)*10+MATCH(D444,Sahalar,0),""))</f>
        <v/>
      </c>
    </row>
    <row r="445">
      <c r="A445" s="16" t="n"/>
      <c r="B445" s="17">
        <f>IF(A445="","",CHOOSE(WEEKDAY(A445,2),"Pzt","Sal","Çar","Per","Cum","Cmt","Paz"))</f>
        <v/>
      </c>
      <c r="C445" s="18" t="n"/>
      <c r="D445" s="17" t="n"/>
      <c r="E445" s="17" t="n"/>
      <c r="F445" s="17" t="n"/>
      <c r="G445" s="17" t="n"/>
      <c r="H445" s="19">
        <f>IF(OR(A445="",C445=""),"",IF(WEEKDAY(A445,2)&gt;=6,UcretHaftaSonu,IF(OR(C445&gt;=AksamBas,C445&lt;TIME(6,0,0)),UcretAksam,UcretGunduz)))</f>
        <v/>
      </c>
      <c r="I445" s="19" t="n"/>
      <c r="J445" s="17" t="n"/>
      <c r="K445" s="19">
        <f>IF(H445="","",IF(J445="Evet",0,H445-N(I445)))</f>
        <v/>
      </c>
      <c r="L445" s="17" t="n"/>
      <c r="M445" s="17" t="n"/>
      <c r="N445">
        <f>IF(OR(A445="",C445="",D445="",L445="İptal"),"",IFERROR(INT(A445)*100000+ROUND(C445*1440,0)*10+MATCH(D445,Sahalar,0),""))</f>
        <v/>
      </c>
    </row>
    <row r="446">
      <c r="A446" s="16" t="n"/>
      <c r="B446" s="17">
        <f>IF(A446="","",CHOOSE(WEEKDAY(A446,2),"Pzt","Sal","Çar","Per","Cum","Cmt","Paz"))</f>
        <v/>
      </c>
      <c r="C446" s="18" t="n"/>
      <c r="D446" s="17" t="n"/>
      <c r="E446" s="17" t="n"/>
      <c r="F446" s="17" t="n"/>
      <c r="G446" s="17" t="n"/>
      <c r="H446" s="19">
        <f>IF(OR(A446="",C446=""),"",IF(WEEKDAY(A446,2)&gt;=6,UcretHaftaSonu,IF(OR(C446&gt;=AksamBas,C446&lt;TIME(6,0,0)),UcretAksam,UcretGunduz)))</f>
        <v/>
      </c>
      <c r="I446" s="19" t="n"/>
      <c r="J446" s="17" t="n"/>
      <c r="K446" s="19">
        <f>IF(H446="","",IF(J446="Evet",0,H446-N(I446)))</f>
        <v/>
      </c>
      <c r="L446" s="17" t="n"/>
      <c r="M446" s="17" t="n"/>
      <c r="N446">
        <f>IF(OR(A446="",C446="",D446="",L446="İptal"),"",IFERROR(INT(A446)*100000+ROUND(C446*1440,0)*10+MATCH(D446,Sahalar,0),""))</f>
        <v/>
      </c>
    </row>
    <row r="447">
      <c r="A447" s="16" t="n"/>
      <c r="B447" s="17">
        <f>IF(A447="","",CHOOSE(WEEKDAY(A447,2),"Pzt","Sal","Çar","Per","Cum","Cmt","Paz"))</f>
        <v/>
      </c>
      <c r="C447" s="18" t="n"/>
      <c r="D447" s="17" t="n"/>
      <c r="E447" s="17" t="n"/>
      <c r="F447" s="17" t="n"/>
      <c r="G447" s="17" t="n"/>
      <c r="H447" s="19">
        <f>IF(OR(A447="",C447=""),"",IF(WEEKDAY(A447,2)&gt;=6,UcretHaftaSonu,IF(OR(C447&gt;=AksamBas,C447&lt;TIME(6,0,0)),UcretAksam,UcretGunduz)))</f>
        <v/>
      </c>
      <c r="I447" s="19" t="n"/>
      <c r="J447" s="17" t="n"/>
      <c r="K447" s="19">
        <f>IF(H447="","",IF(J447="Evet",0,H447-N(I447)))</f>
        <v/>
      </c>
      <c r="L447" s="17" t="n"/>
      <c r="M447" s="17" t="n"/>
      <c r="N447">
        <f>IF(OR(A447="",C447="",D447="",L447="İptal"),"",IFERROR(INT(A447)*100000+ROUND(C447*1440,0)*10+MATCH(D447,Sahalar,0),""))</f>
        <v/>
      </c>
    </row>
    <row r="448">
      <c r="A448" s="16" t="n"/>
      <c r="B448" s="17">
        <f>IF(A448="","",CHOOSE(WEEKDAY(A448,2),"Pzt","Sal","Çar","Per","Cum","Cmt","Paz"))</f>
        <v/>
      </c>
      <c r="C448" s="18" t="n"/>
      <c r="D448" s="17" t="n"/>
      <c r="E448" s="17" t="n"/>
      <c r="F448" s="17" t="n"/>
      <c r="G448" s="17" t="n"/>
      <c r="H448" s="19">
        <f>IF(OR(A448="",C448=""),"",IF(WEEKDAY(A448,2)&gt;=6,UcretHaftaSonu,IF(OR(C448&gt;=AksamBas,C448&lt;TIME(6,0,0)),UcretAksam,UcretGunduz)))</f>
        <v/>
      </c>
      <c r="I448" s="19" t="n"/>
      <c r="J448" s="17" t="n"/>
      <c r="K448" s="19">
        <f>IF(H448="","",IF(J448="Evet",0,H448-N(I448)))</f>
        <v/>
      </c>
      <c r="L448" s="17" t="n"/>
      <c r="M448" s="17" t="n"/>
      <c r="N448">
        <f>IF(OR(A448="",C448="",D448="",L448="İptal"),"",IFERROR(INT(A448)*100000+ROUND(C448*1440,0)*10+MATCH(D448,Sahalar,0),""))</f>
        <v/>
      </c>
    </row>
    <row r="449">
      <c r="A449" s="16" t="n"/>
      <c r="B449" s="17">
        <f>IF(A449="","",CHOOSE(WEEKDAY(A449,2),"Pzt","Sal","Çar","Per","Cum","Cmt","Paz"))</f>
        <v/>
      </c>
      <c r="C449" s="18" t="n"/>
      <c r="D449" s="17" t="n"/>
      <c r="E449" s="17" t="n"/>
      <c r="F449" s="17" t="n"/>
      <c r="G449" s="17" t="n"/>
      <c r="H449" s="19">
        <f>IF(OR(A449="",C449=""),"",IF(WEEKDAY(A449,2)&gt;=6,UcretHaftaSonu,IF(OR(C449&gt;=AksamBas,C449&lt;TIME(6,0,0)),UcretAksam,UcretGunduz)))</f>
        <v/>
      </c>
      <c r="I449" s="19" t="n"/>
      <c r="J449" s="17" t="n"/>
      <c r="K449" s="19">
        <f>IF(H449="","",IF(J449="Evet",0,H449-N(I449)))</f>
        <v/>
      </c>
      <c r="L449" s="17" t="n"/>
      <c r="M449" s="17" t="n"/>
      <c r="N449">
        <f>IF(OR(A449="",C449="",D449="",L449="İptal"),"",IFERROR(INT(A449)*100000+ROUND(C449*1440,0)*10+MATCH(D449,Sahalar,0),""))</f>
        <v/>
      </c>
    </row>
    <row r="450">
      <c r="A450" s="16" t="n"/>
      <c r="B450" s="17">
        <f>IF(A450="","",CHOOSE(WEEKDAY(A450,2),"Pzt","Sal","Çar","Per","Cum","Cmt","Paz"))</f>
        <v/>
      </c>
      <c r="C450" s="18" t="n"/>
      <c r="D450" s="17" t="n"/>
      <c r="E450" s="17" t="n"/>
      <c r="F450" s="17" t="n"/>
      <c r="G450" s="17" t="n"/>
      <c r="H450" s="19">
        <f>IF(OR(A450="",C450=""),"",IF(WEEKDAY(A450,2)&gt;=6,UcretHaftaSonu,IF(OR(C450&gt;=AksamBas,C450&lt;TIME(6,0,0)),UcretAksam,UcretGunduz)))</f>
        <v/>
      </c>
      <c r="I450" s="19" t="n"/>
      <c r="J450" s="17" t="n"/>
      <c r="K450" s="19">
        <f>IF(H450="","",IF(J450="Evet",0,H450-N(I450)))</f>
        <v/>
      </c>
      <c r="L450" s="17" t="n"/>
      <c r="M450" s="17" t="n"/>
      <c r="N450">
        <f>IF(OR(A450="",C450="",D450="",L450="İptal"),"",IFERROR(INT(A450)*100000+ROUND(C450*1440,0)*10+MATCH(D450,Sahalar,0),""))</f>
        <v/>
      </c>
    </row>
    <row r="451">
      <c r="A451" s="16" t="n"/>
      <c r="B451" s="17">
        <f>IF(A451="","",CHOOSE(WEEKDAY(A451,2),"Pzt","Sal","Çar","Per","Cum","Cmt","Paz"))</f>
        <v/>
      </c>
      <c r="C451" s="18" t="n"/>
      <c r="D451" s="17" t="n"/>
      <c r="E451" s="17" t="n"/>
      <c r="F451" s="17" t="n"/>
      <c r="G451" s="17" t="n"/>
      <c r="H451" s="19">
        <f>IF(OR(A451="",C451=""),"",IF(WEEKDAY(A451,2)&gt;=6,UcretHaftaSonu,IF(OR(C451&gt;=AksamBas,C451&lt;TIME(6,0,0)),UcretAksam,UcretGunduz)))</f>
        <v/>
      </c>
      <c r="I451" s="19" t="n"/>
      <c r="J451" s="17" t="n"/>
      <c r="K451" s="19">
        <f>IF(H451="","",IF(J451="Evet",0,H451-N(I451)))</f>
        <v/>
      </c>
      <c r="L451" s="17" t="n"/>
      <c r="M451" s="17" t="n"/>
      <c r="N451">
        <f>IF(OR(A451="",C451="",D451="",L451="İptal"),"",IFERROR(INT(A451)*100000+ROUND(C451*1440,0)*10+MATCH(D451,Sahalar,0),""))</f>
        <v/>
      </c>
    </row>
    <row r="452">
      <c r="A452" s="16" t="n"/>
      <c r="B452" s="17">
        <f>IF(A452="","",CHOOSE(WEEKDAY(A452,2),"Pzt","Sal","Çar","Per","Cum","Cmt","Paz"))</f>
        <v/>
      </c>
      <c r="C452" s="18" t="n"/>
      <c r="D452" s="17" t="n"/>
      <c r="E452" s="17" t="n"/>
      <c r="F452" s="17" t="n"/>
      <c r="G452" s="17" t="n"/>
      <c r="H452" s="19">
        <f>IF(OR(A452="",C452=""),"",IF(WEEKDAY(A452,2)&gt;=6,UcretHaftaSonu,IF(OR(C452&gt;=AksamBas,C452&lt;TIME(6,0,0)),UcretAksam,UcretGunduz)))</f>
        <v/>
      </c>
      <c r="I452" s="19" t="n"/>
      <c r="J452" s="17" t="n"/>
      <c r="K452" s="19">
        <f>IF(H452="","",IF(J452="Evet",0,H452-N(I452)))</f>
        <v/>
      </c>
      <c r="L452" s="17" t="n"/>
      <c r="M452" s="17" t="n"/>
      <c r="N452">
        <f>IF(OR(A452="",C452="",D452="",L452="İptal"),"",IFERROR(INT(A452)*100000+ROUND(C452*1440,0)*10+MATCH(D452,Sahalar,0),""))</f>
        <v/>
      </c>
    </row>
    <row r="453">
      <c r="A453" s="16" t="n"/>
      <c r="B453" s="17">
        <f>IF(A453="","",CHOOSE(WEEKDAY(A453,2),"Pzt","Sal","Çar","Per","Cum","Cmt","Paz"))</f>
        <v/>
      </c>
      <c r="C453" s="18" t="n"/>
      <c r="D453" s="17" t="n"/>
      <c r="E453" s="17" t="n"/>
      <c r="F453" s="17" t="n"/>
      <c r="G453" s="17" t="n"/>
      <c r="H453" s="19">
        <f>IF(OR(A453="",C453=""),"",IF(WEEKDAY(A453,2)&gt;=6,UcretHaftaSonu,IF(OR(C453&gt;=AksamBas,C453&lt;TIME(6,0,0)),UcretAksam,UcretGunduz)))</f>
        <v/>
      </c>
      <c r="I453" s="19" t="n"/>
      <c r="J453" s="17" t="n"/>
      <c r="K453" s="19">
        <f>IF(H453="","",IF(J453="Evet",0,H453-N(I453)))</f>
        <v/>
      </c>
      <c r="L453" s="17" t="n"/>
      <c r="M453" s="17" t="n"/>
      <c r="N453">
        <f>IF(OR(A453="",C453="",D453="",L453="İptal"),"",IFERROR(INT(A453)*100000+ROUND(C453*1440,0)*10+MATCH(D453,Sahalar,0),""))</f>
        <v/>
      </c>
    </row>
    <row r="454">
      <c r="A454" s="16" t="n"/>
      <c r="B454" s="17">
        <f>IF(A454="","",CHOOSE(WEEKDAY(A454,2),"Pzt","Sal","Çar","Per","Cum","Cmt","Paz"))</f>
        <v/>
      </c>
      <c r="C454" s="18" t="n"/>
      <c r="D454" s="17" t="n"/>
      <c r="E454" s="17" t="n"/>
      <c r="F454" s="17" t="n"/>
      <c r="G454" s="17" t="n"/>
      <c r="H454" s="19">
        <f>IF(OR(A454="",C454=""),"",IF(WEEKDAY(A454,2)&gt;=6,UcretHaftaSonu,IF(OR(C454&gt;=AksamBas,C454&lt;TIME(6,0,0)),UcretAksam,UcretGunduz)))</f>
        <v/>
      </c>
      <c r="I454" s="19" t="n"/>
      <c r="J454" s="17" t="n"/>
      <c r="K454" s="19">
        <f>IF(H454="","",IF(J454="Evet",0,H454-N(I454)))</f>
        <v/>
      </c>
      <c r="L454" s="17" t="n"/>
      <c r="M454" s="17" t="n"/>
      <c r="N454">
        <f>IF(OR(A454="",C454="",D454="",L454="İptal"),"",IFERROR(INT(A454)*100000+ROUND(C454*1440,0)*10+MATCH(D454,Sahalar,0),""))</f>
        <v/>
      </c>
    </row>
    <row r="455">
      <c r="A455" s="16" t="n"/>
      <c r="B455" s="17">
        <f>IF(A455="","",CHOOSE(WEEKDAY(A455,2),"Pzt","Sal","Çar","Per","Cum","Cmt","Paz"))</f>
        <v/>
      </c>
      <c r="C455" s="18" t="n"/>
      <c r="D455" s="17" t="n"/>
      <c r="E455" s="17" t="n"/>
      <c r="F455" s="17" t="n"/>
      <c r="G455" s="17" t="n"/>
      <c r="H455" s="19">
        <f>IF(OR(A455="",C455=""),"",IF(WEEKDAY(A455,2)&gt;=6,UcretHaftaSonu,IF(OR(C455&gt;=AksamBas,C455&lt;TIME(6,0,0)),UcretAksam,UcretGunduz)))</f>
        <v/>
      </c>
      <c r="I455" s="19" t="n"/>
      <c r="J455" s="17" t="n"/>
      <c r="K455" s="19">
        <f>IF(H455="","",IF(J455="Evet",0,H455-N(I455)))</f>
        <v/>
      </c>
      <c r="L455" s="17" t="n"/>
      <c r="M455" s="17" t="n"/>
      <c r="N455">
        <f>IF(OR(A455="",C455="",D455="",L455="İptal"),"",IFERROR(INT(A455)*100000+ROUND(C455*1440,0)*10+MATCH(D455,Sahalar,0),""))</f>
        <v/>
      </c>
    </row>
    <row r="456">
      <c r="A456" s="16" t="n"/>
      <c r="B456" s="17">
        <f>IF(A456="","",CHOOSE(WEEKDAY(A456,2),"Pzt","Sal","Çar","Per","Cum","Cmt","Paz"))</f>
        <v/>
      </c>
      <c r="C456" s="18" t="n"/>
      <c r="D456" s="17" t="n"/>
      <c r="E456" s="17" t="n"/>
      <c r="F456" s="17" t="n"/>
      <c r="G456" s="17" t="n"/>
      <c r="H456" s="19">
        <f>IF(OR(A456="",C456=""),"",IF(WEEKDAY(A456,2)&gt;=6,UcretHaftaSonu,IF(OR(C456&gt;=AksamBas,C456&lt;TIME(6,0,0)),UcretAksam,UcretGunduz)))</f>
        <v/>
      </c>
      <c r="I456" s="19" t="n"/>
      <c r="J456" s="17" t="n"/>
      <c r="K456" s="19">
        <f>IF(H456="","",IF(J456="Evet",0,H456-N(I456)))</f>
        <v/>
      </c>
      <c r="L456" s="17" t="n"/>
      <c r="M456" s="17" t="n"/>
      <c r="N456">
        <f>IF(OR(A456="",C456="",D456="",L456="İptal"),"",IFERROR(INT(A456)*100000+ROUND(C456*1440,0)*10+MATCH(D456,Sahalar,0),""))</f>
        <v/>
      </c>
    </row>
    <row r="457">
      <c r="A457" s="16" t="n"/>
      <c r="B457" s="17">
        <f>IF(A457="","",CHOOSE(WEEKDAY(A457,2),"Pzt","Sal","Çar","Per","Cum","Cmt","Paz"))</f>
        <v/>
      </c>
      <c r="C457" s="18" t="n"/>
      <c r="D457" s="17" t="n"/>
      <c r="E457" s="17" t="n"/>
      <c r="F457" s="17" t="n"/>
      <c r="G457" s="17" t="n"/>
      <c r="H457" s="19">
        <f>IF(OR(A457="",C457=""),"",IF(WEEKDAY(A457,2)&gt;=6,UcretHaftaSonu,IF(OR(C457&gt;=AksamBas,C457&lt;TIME(6,0,0)),UcretAksam,UcretGunduz)))</f>
        <v/>
      </c>
      <c r="I457" s="19" t="n"/>
      <c r="J457" s="17" t="n"/>
      <c r="K457" s="19">
        <f>IF(H457="","",IF(J457="Evet",0,H457-N(I457)))</f>
        <v/>
      </c>
      <c r="L457" s="17" t="n"/>
      <c r="M457" s="17" t="n"/>
      <c r="N457">
        <f>IF(OR(A457="",C457="",D457="",L457="İptal"),"",IFERROR(INT(A457)*100000+ROUND(C457*1440,0)*10+MATCH(D457,Sahalar,0),""))</f>
        <v/>
      </c>
    </row>
    <row r="458">
      <c r="A458" s="16" t="n"/>
      <c r="B458" s="17">
        <f>IF(A458="","",CHOOSE(WEEKDAY(A458,2),"Pzt","Sal","Çar","Per","Cum","Cmt","Paz"))</f>
        <v/>
      </c>
      <c r="C458" s="18" t="n"/>
      <c r="D458" s="17" t="n"/>
      <c r="E458" s="17" t="n"/>
      <c r="F458" s="17" t="n"/>
      <c r="G458" s="17" t="n"/>
      <c r="H458" s="19">
        <f>IF(OR(A458="",C458=""),"",IF(WEEKDAY(A458,2)&gt;=6,UcretHaftaSonu,IF(OR(C458&gt;=AksamBas,C458&lt;TIME(6,0,0)),UcretAksam,UcretGunduz)))</f>
        <v/>
      </c>
      <c r="I458" s="19" t="n"/>
      <c r="J458" s="17" t="n"/>
      <c r="K458" s="19">
        <f>IF(H458="","",IF(J458="Evet",0,H458-N(I458)))</f>
        <v/>
      </c>
      <c r="L458" s="17" t="n"/>
      <c r="M458" s="17" t="n"/>
      <c r="N458">
        <f>IF(OR(A458="",C458="",D458="",L458="İptal"),"",IFERROR(INT(A458)*100000+ROUND(C458*1440,0)*10+MATCH(D458,Sahalar,0),""))</f>
        <v/>
      </c>
    </row>
    <row r="459">
      <c r="A459" s="16" t="n"/>
      <c r="B459" s="17">
        <f>IF(A459="","",CHOOSE(WEEKDAY(A459,2),"Pzt","Sal","Çar","Per","Cum","Cmt","Paz"))</f>
        <v/>
      </c>
      <c r="C459" s="18" t="n"/>
      <c r="D459" s="17" t="n"/>
      <c r="E459" s="17" t="n"/>
      <c r="F459" s="17" t="n"/>
      <c r="G459" s="17" t="n"/>
      <c r="H459" s="19">
        <f>IF(OR(A459="",C459=""),"",IF(WEEKDAY(A459,2)&gt;=6,UcretHaftaSonu,IF(OR(C459&gt;=AksamBas,C459&lt;TIME(6,0,0)),UcretAksam,UcretGunduz)))</f>
        <v/>
      </c>
      <c r="I459" s="19" t="n"/>
      <c r="J459" s="17" t="n"/>
      <c r="K459" s="19">
        <f>IF(H459="","",IF(J459="Evet",0,H459-N(I459)))</f>
        <v/>
      </c>
      <c r="L459" s="17" t="n"/>
      <c r="M459" s="17" t="n"/>
      <c r="N459">
        <f>IF(OR(A459="",C459="",D459="",L459="İptal"),"",IFERROR(INT(A459)*100000+ROUND(C459*1440,0)*10+MATCH(D459,Sahalar,0),""))</f>
        <v/>
      </c>
    </row>
    <row r="460">
      <c r="A460" s="16" t="n"/>
      <c r="B460" s="17">
        <f>IF(A460="","",CHOOSE(WEEKDAY(A460,2),"Pzt","Sal","Çar","Per","Cum","Cmt","Paz"))</f>
        <v/>
      </c>
      <c r="C460" s="18" t="n"/>
      <c r="D460" s="17" t="n"/>
      <c r="E460" s="17" t="n"/>
      <c r="F460" s="17" t="n"/>
      <c r="G460" s="17" t="n"/>
      <c r="H460" s="19">
        <f>IF(OR(A460="",C460=""),"",IF(WEEKDAY(A460,2)&gt;=6,UcretHaftaSonu,IF(OR(C460&gt;=AksamBas,C460&lt;TIME(6,0,0)),UcretAksam,UcretGunduz)))</f>
        <v/>
      </c>
      <c r="I460" s="19" t="n"/>
      <c r="J460" s="17" t="n"/>
      <c r="K460" s="19">
        <f>IF(H460="","",IF(J460="Evet",0,H460-N(I460)))</f>
        <v/>
      </c>
      <c r="L460" s="17" t="n"/>
      <c r="M460" s="17" t="n"/>
      <c r="N460">
        <f>IF(OR(A460="",C460="",D460="",L460="İptal"),"",IFERROR(INT(A460)*100000+ROUND(C460*1440,0)*10+MATCH(D460,Sahalar,0),""))</f>
        <v/>
      </c>
    </row>
    <row r="461">
      <c r="A461" s="16" t="n"/>
      <c r="B461" s="17">
        <f>IF(A461="","",CHOOSE(WEEKDAY(A461,2),"Pzt","Sal","Çar","Per","Cum","Cmt","Paz"))</f>
        <v/>
      </c>
      <c r="C461" s="18" t="n"/>
      <c r="D461" s="17" t="n"/>
      <c r="E461" s="17" t="n"/>
      <c r="F461" s="17" t="n"/>
      <c r="G461" s="17" t="n"/>
      <c r="H461" s="19">
        <f>IF(OR(A461="",C461=""),"",IF(WEEKDAY(A461,2)&gt;=6,UcretHaftaSonu,IF(OR(C461&gt;=AksamBas,C461&lt;TIME(6,0,0)),UcretAksam,UcretGunduz)))</f>
        <v/>
      </c>
      <c r="I461" s="19" t="n"/>
      <c r="J461" s="17" t="n"/>
      <c r="K461" s="19">
        <f>IF(H461="","",IF(J461="Evet",0,H461-N(I461)))</f>
        <v/>
      </c>
      <c r="L461" s="17" t="n"/>
      <c r="M461" s="17" t="n"/>
      <c r="N461">
        <f>IF(OR(A461="",C461="",D461="",L461="İptal"),"",IFERROR(INT(A461)*100000+ROUND(C461*1440,0)*10+MATCH(D461,Sahalar,0),""))</f>
        <v/>
      </c>
    </row>
    <row r="462">
      <c r="A462" s="16" t="n"/>
      <c r="B462" s="17">
        <f>IF(A462="","",CHOOSE(WEEKDAY(A462,2),"Pzt","Sal","Çar","Per","Cum","Cmt","Paz"))</f>
        <v/>
      </c>
      <c r="C462" s="18" t="n"/>
      <c r="D462" s="17" t="n"/>
      <c r="E462" s="17" t="n"/>
      <c r="F462" s="17" t="n"/>
      <c r="G462" s="17" t="n"/>
      <c r="H462" s="19">
        <f>IF(OR(A462="",C462=""),"",IF(WEEKDAY(A462,2)&gt;=6,UcretHaftaSonu,IF(OR(C462&gt;=AksamBas,C462&lt;TIME(6,0,0)),UcretAksam,UcretGunduz)))</f>
        <v/>
      </c>
      <c r="I462" s="19" t="n"/>
      <c r="J462" s="17" t="n"/>
      <c r="K462" s="19">
        <f>IF(H462="","",IF(J462="Evet",0,H462-N(I462)))</f>
        <v/>
      </c>
      <c r="L462" s="17" t="n"/>
      <c r="M462" s="17" t="n"/>
      <c r="N462">
        <f>IF(OR(A462="",C462="",D462="",L462="İptal"),"",IFERROR(INT(A462)*100000+ROUND(C462*1440,0)*10+MATCH(D462,Sahalar,0),""))</f>
        <v/>
      </c>
    </row>
    <row r="463">
      <c r="A463" s="16" t="n"/>
      <c r="B463" s="17">
        <f>IF(A463="","",CHOOSE(WEEKDAY(A463,2),"Pzt","Sal","Çar","Per","Cum","Cmt","Paz"))</f>
        <v/>
      </c>
      <c r="C463" s="18" t="n"/>
      <c r="D463" s="17" t="n"/>
      <c r="E463" s="17" t="n"/>
      <c r="F463" s="17" t="n"/>
      <c r="G463" s="17" t="n"/>
      <c r="H463" s="19">
        <f>IF(OR(A463="",C463=""),"",IF(WEEKDAY(A463,2)&gt;=6,UcretHaftaSonu,IF(OR(C463&gt;=AksamBas,C463&lt;TIME(6,0,0)),UcretAksam,UcretGunduz)))</f>
        <v/>
      </c>
      <c r="I463" s="19" t="n"/>
      <c r="J463" s="17" t="n"/>
      <c r="K463" s="19">
        <f>IF(H463="","",IF(J463="Evet",0,H463-N(I463)))</f>
        <v/>
      </c>
      <c r="L463" s="17" t="n"/>
      <c r="M463" s="17" t="n"/>
      <c r="N463">
        <f>IF(OR(A463="",C463="",D463="",L463="İptal"),"",IFERROR(INT(A463)*100000+ROUND(C463*1440,0)*10+MATCH(D463,Sahalar,0),""))</f>
        <v/>
      </c>
    </row>
    <row r="464">
      <c r="A464" s="16" t="n"/>
      <c r="B464" s="17">
        <f>IF(A464="","",CHOOSE(WEEKDAY(A464,2),"Pzt","Sal","Çar","Per","Cum","Cmt","Paz"))</f>
        <v/>
      </c>
      <c r="C464" s="18" t="n"/>
      <c r="D464" s="17" t="n"/>
      <c r="E464" s="17" t="n"/>
      <c r="F464" s="17" t="n"/>
      <c r="G464" s="17" t="n"/>
      <c r="H464" s="19">
        <f>IF(OR(A464="",C464=""),"",IF(WEEKDAY(A464,2)&gt;=6,UcretHaftaSonu,IF(OR(C464&gt;=AksamBas,C464&lt;TIME(6,0,0)),UcretAksam,UcretGunduz)))</f>
        <v/>
      </c>
      <c r="I464" s="19" t="n"/>
      <c r="J464" s="17" t="n"/>
      <c r="K464" s="19">
        <f>IF(H464="","",IF(J464="Evet",0,H464-N(I464)))</f>
        <v/>
      </c>
      <c r="L464" s="17" t="n"/>
      <c r="M464" s="17" t="n"/>
      <c r="N464">
        <f>IF(OR(A464="",C464="",D464="",L464="İptal"),"",IFERROR(INT(A464)*100000+ROUND(C464*1440,0)*10+MATCH(D464,Sahalar,0),""))</f>
        <v/>
      </c>
    </row>
    <row r="465">
      <c r="A465" s="16" t="n"/>
      <c r="B465" s="17">
        <f>IF(A465="","",CHOOSE(WEEKDAY(A465,2),"Pzt","Sal","Çar","Per","Cum","Cmt","Paz"))</f>
        <v/>
      </c>
      <c r="C465" s="18" t="n"/>
      <c r="D465" s="17" t="n"/>
      <c r="E465" s="17" t="n"/>
      <c r="F465" s="17" t="n"/>
      <c r="G465" s="17" t="n"/>
      <c r="H465" s="19">
        <f>IF(OR(A465="",C465=""),"",IF(WEEKDAY(A465,2)&gt;=6,UcretHaftaSonu,IF(OR(C465&gt;=AksamBas,C465&lt;TIME(6,0,0)),UcretAksam,UcretGunduz)))</f>
        <v/>
      </c>
      <c r="I465" s="19" t="n"/>
      <c r="J465" s="17" t="n"/>
      <c r="K465" s="19">
        <f>IF(H465="","",IF(J465="Evet",0,H465-N(I465)))</f>
        <v/>
      </c>
      <c r="L465" s="17" t="n"/>
      <c r="M465" s="17" t="n"/>
      <c r="N465">
        <f>IF(OR(A465="",C465="",D465="",L465="İptal"),"",IFERROR(INT(A465)*100000+ROUND(C465*1440,0)*10+MATCH(D465,Sahalar,0),""))</f>
        <v/>
      </c>
    </row>
    <row r="466">
      <c r="A466" s="16" t="n"/>
      <c r="B466" s="17">
        <f>IF(A466="","",CHOOSE(WEEKDAY(A466,2),"Pzt","Sal","Çar","Per","Cum","Cmt","Paz"))</f>
        <v/>
      </c>
      <c r="C466" s="18" t="n"/>
      <c r="D466" s="17" t="n"/>
      <c r="E466" s="17" t="n"/>
      <c r="F466" s="17" t="n"/>
      <c r="G466" s="17" t="n"/>
      <c r="H466" s="19">
        <f>IF(OR(A466="",C466=""),"",IF(WEEKDAY(A466,2)&gt;=6,UcretHaftaSonu,IF(OR(C466&gt;=AksamBas,C466&lt;TIME(6,0,0)),UcretAksam,UcretGunduz)))</f>
        <v/>
      </c>
      <c r="I466" s="19" t="n"/>
      <c r="J466" s="17" t="n"/>
      <c r="K466" s="19">
        <f>IF(H466="","",IF(J466="Evet",0,H466-N(I466)))</f>
        <v/>
      </c>
      <c r="L466" s="17" t="n"/>
      <c r="M466" s="17" t="n"/>
      <c r="N466">
        <f>IF(OR(A466="",C466="",D466="",L466="İptal"),"",IFERROR(INT(A466)*100000+ROUND(C466*1440,0)*10+MATCH(D466,Sahalar,0),""))</f>
        <v/>
      </c>
    </row>
    <row r="467">
      <c r="A467" s="16" t="n"/>
      <c r="B467" s="17">
        <f>IF(A467="","",CHOOSE(WEEKDAY(A467,2),"Pzt","Sal","Çar","Per","Cum","Cmt","Paz"))</f>
        <v/>
      </c>
      <c r="C467" s="18" t="n"/>
      <c r="D467" s="17" t="n"/>
      <c r="E467" s="17" t="n"/>
      <c r="F467" s="17" t="n"/>
      <c r="G467" s="17" t="n"/>
      <c r="H467" s="19">
        <f>IF(OR(A467="",C467=""),"",IF(WEEKDAY(A467,2)&gt;=6,UcretHaftaSonu,IF(OR(C467&gt;=AksamBas,C467&lt;TIME(6,0,0)),UcretAksam,UcretGunduz)))</f>
        <v/>
      </c>
      <c r="I467" s="19" t="n"/>
      <c r="J467" s="17" t="n"/>
      <c r="K467" s="19">
        <f>IF(H467="","",IF(J467="Evet",0,H467-N(I467)))</f>
        <v/>
      </c>
      <c r="L467" s="17" t="n"/>
      <c r="M467" s="17" t="n"/>
      <c r="N467">
        <f>IF(OR(A467="",C467="",D467="",L467="İptal"),"",IFERROR(INT(A467)*100000+ROUND(C467*1440,0)*10+MATCH(D467,Sahalar,0),""))</f>
        <v/>
      </c>
    </row>
    <row r="468">
      <c r="A468" s="16" t="n"/>
      <c r="B468" s="17">
        <f>IF(A468="","",CHOOSE(WEEKDAY(A468,2),"Pzt","Sal","Çar","Per","Cum","Cmt","Paz"))</f>
        <v/>
      </c>
      <c r="C468" s="18" t="n"/>
      <c r="D468" s="17" t="n"/>
      <c r="E468" s="17" t="n"/>
      <c r="F468" s="17" t="n"/>
      <c r="G468" s="17" t="n"/>
      <c r="H468" s="19">
        <f>IF(OR(A468="",C468=""),"",IF(WEEKDAY(A468,2)&gt;=6,UcretHaftaSonu,IF(OR(C468&gt;=AksamBas,C468&lt;TIME(6,0,0)),UcretAksam,UcretGunduz)))</f>
        <v/>
      </c>
      <c r="I468" s="19" t="n"/>
      <c r="J468" s="17" t="n"/>
      <c r="K468" s="19">
        <f>IF(H468="","",IF(J468="Evet",0,H468-N(I468)))</f>
        <v/>
      </c>
      <c r="L468" s="17" t="n"/>
      <c r="M468" s="17" t="n"/>
      <c r="N468">
        <f>IF(OR(A468="",C468="",D468="",L468="İptal"),"",IFERROR(INT(A468)*100000+ROUND(C468*1440,0)*10+MATCH(D468,Sahalar,0),""))</f>
        <v/>
      </c>
    </row>
    <row r="469">
      <c r="A469" s="16" t="n"/>
      <c r="B469" s="17">
        <f>IF(A469="","",CHOOSE(WEEKDAY(A469,2),"Pzt","Sal","Çar","Per","Cum","Cmt","Paz"))</f>
        <v/>
      </c>
      <c r="C469" s="18" t="n"/>
      <c r="D469" s="17" t="n"/>
      <c r="E469" s="17" t="n"/>
      <c r="F469" s="17" t="n"/>
      <c r="G469" s="17" t="n"/>
      <c r="H469" s="19">
        <f>IF(OR(A469="",C469=""),"",IF(WEEKDAY(A469,2)&gt;=6,UcretHaftaSonu,IF(OR(C469&gt;=AksamBas,C469&lt;TIME(6,0,0)),UcretAksam,UcretGunduz)))</f>
        <v/>
      </c>
      <c r="I469" s="19" t="n"/>
      <c r="J469" s="17" t="n"/>
      <c r="K469" s="19">
        <f>IF(H469="","",IF(J469="Evet",0,H469-N(I469)))</f>
        <v/>
      </c>
      <c r="L469" s="17" t="n"/>
      <c r="M469" s="17" t="n"/>
      <c r="N469">
        <f>IF(OR(A469="",C469="",D469="",L469="İptal"),"",IFERROR(INT(A469)*100000+ROUND(C469*1440,0)*10+MATCH(D469,Sahalar,0),""))</f>
        <v/>
      </c>
    </row>
    <row r="470">
      <c r="A470" s="16" t="n"/>
      <c r="B470" s="17">
        <f>IF(A470="","",CHOOSE(WEEKDAY(A470,2),"Pzt","Sal","Çar","Per","Cum","Cmt","Paz"))</f>
        <v/>
      </c>
      <c r="C470" s="18" t="n"/>
      <c r="D470" s="17" t="n"/>
      <c r="E470" s="17" t="n"/>
      <c r="F470" s="17" t="n"/>
      <c r="G470" s="17" t="n"/>
      <c r="H470" s="19">
        <f>IF(OR(A470="",C470=""),"",IF(WEEKDAY(A470,2)&gt;=6,UcretHaftaSonu,IF(OR(C470&gt;=AksamBas,C470&lt;TIME(6,0,0)),UcretAksam,UcretGunduz)))</f>
        <v/>
      </c>
      <c r="I470" s="19" t="n"/>
      <c r="J470" s="17" t="n"/>
      <c r="K470" s="19">
        <f>IF(H470="","",IF(J470="Evet",0,H470-N(I470)))</f>
        <v/>
      </c>
      <c r="L470" s="17" t="n"/>
      <c r="M470" s="17" t="n"/>
      <c r="N470">
        <f>IF(OR(A470="",C470="",D470="",L470="İptal"),"",IFERROR(INT(A470)*100000+ROUND(C470*1440,0)*10+MATCH(D470,Sahalar,0),""))</f>
        <v/>
      </c>
    </row>
    <row r="471">
      <c r="A471" s="16" t="n"/>
      <c r="B471" s="17">
        <f>IF(A471="","",CHOOSE(WEEKDAY(A471,2),"Pzt","Sal","Çar","Per","Cum","Cmt","Paz"))</f>
        <v/>
      </c>
      <c r="C471" s="18" t="n"/>
      <c r="D471" s="17" t="n"/>
      <c r="E471" s="17" t="n"/>
      <c r="F471" s="17" t="n"/>
      <c r="G471" s="17" t="n"/>
      <c r="H471" s="19">
        <f>IF(OR(A471="",C471=""),"",IF(WEEKDAY(A471,2)&gt;=6,UcretHaftaSonu,IF(OR(C471&gt;=AksamBas,C471&lt;TIME(6,0,0)),UcretAksam,UcretGunduz)))</f>
        <v/>
      </c>
      <c r="I471" s="19" t="n"/>
      <c r="J471" s="17" t="n"/>
      <c r="K471" s="19">
        <f>IF(H471="","",IF(J471="Evet",0,H471-N(I471)))</f>
        <v/>
      </c>
      <c r="L471" s="17" t="n"/>
      <c r="M471" s="17" t="n"/>
      <c r="N471">
        <f>IF(OR(A471="",C471="",D471="",L471="İptal"),"",IFERROR(INT(A471)*100000+ROUND(C471*1440,0)*10+MATCH(D471,Sahalar,0),""))</f>
        <v/>
      </c>
    </row>
    <row r="472">
      <c r="A472" s="16" t="n"/>
      <c r="B472" s="17">
        <f>IF(A472="","",CHOOSE(WEEKDAY(A472,2),"Pzt","Sal","Çar","Per","Cum","Cmt","Paz"))</f>
        <v/>
      </c>
      <c r="C472" s="18" t="n"/>
      <c r="D472" s="17" t="n"/>
      <c r="E472" s="17" t="n"/>
      <c r="F472" s="17" t="n"/>
      <c r="G472" s="17" t="n"/>
      <c r="H472" s="19">
        <f>IF(OR(A472="",C472=""),"",IF(WEEKDAY(A472,2)&gt;=6,UcretHaftaSonu,IF(OR(C472&gt;=AksamBas,C472&lt;TIME(6,0,0)),UcretAksam,UcretGunduz)))</f>
        <v/>
      </c>
      <c r="I472" s="19" t="n"/>
      <c r="J472" s="17" t="n"/>
      <c r="K472" s="19">
        <f>IF(H472="","",IF(J472="Evet",0,H472-N(I472)))</f>
        <v/>
      </c>
      <c r="L472" s="17" t="n"/>
      <c r="M472" s="17" t="n"/>
      <c r="N472">
        <f>IF(OR(A472="",C472="",D472="",L472="İptal"),"",IFERROR(INT(A472)*100000+ROUND(C472*1440,0)*10+MATCH(D472,Sahalar,0),""))</f>
        <v/>
      </c>
    </row>
    <row r="473">
      <c r="A473" s="16" t="n"/>
      <c r="B473" s="17">
        <f>IF(A473="","",CHOOSE(WEEKDAY(A473,2),"Pzt","Sal","Çar","Per","Cum","Cmt","Paz"))</f>
        <v/>
      </c>
      <c r="C473" s="18" t="n"/>
      <c r="D473" s="17" t="n"/>
      <c r="E473" s="17" t="n"/>
      <c r="F473" s="17" t="n"/>
      <c r="G473" s="17" t="n"/>
      <c r="H473" s="19">
        <f>IF(OR(A473="",C473=""),"",IF(WEEKDAY(A473,2)&gt;=6,UcretHaftaSonu,IF(OR(C473&gt;=AksamBas,C473&lt;TIME(6,0,0)),UcretAksam,UcretGunduz)))</f>
        <v/>
      </c>
      <c r="I473" s="19" t="n"/>
      <c r="J473" s="17" t="n"/>
      <c r="K473" s="19">
        <f>IF(H473="","",IF(J473="Evet",0,H473-N(I473)))</f>
        <v/>
      </c>
      <c r="L473" s="17" t="n"/>
      <c r="M473" s="17" t="n"/>
      <c r="N473">
        <f>IF(OR(A473="",C473="",D473="",L473="İptal"),"",IFERROR(INT(A473)*100000+ROUND(C473*1440,0)*10+MATCH(D473,Sahalar,0),""))</f>
        <v/>
      </c>
    </row>
    <row r="474">
      <c r="A474" s="16" t="n"/>
      <c r="B474" s="17">
        <f>IF(A474="","",CHOOSE(WEEKDAY(A474,2),"Pzt","Sal","Çar","Per","Cum","Cmt","Paz"))</f>
        <v/>
      </c>
      <c r="C474" s="18" t="n"/>
      <c r="D474" s="17" t="n"/>
      <c r="E474" s="17" t="n"/>
      <c r="F474" s="17" t="n"/>
      <c r="G474" s="17" t="n"/>
      <c r="H474" s="19">
        <f>IF(OR(A474="",C474=""),"",IF(WEEKDAY(A474,2)&gt;=6,UcretHaftaSonu,IF(OR(C474&gt;=AksamBas,C474&lt;TIME(6,0,0)),UcretAksam,UcretGunduz)))</f>
        <v/>
      </c>
      <c r="I474" s="19" t="n"/>
      <c r="J474" s="17" t="n"/>
      <c r="K474" s="19">
        <f>IF(H474="","",IF(J474="Evet",0,H474-N(I474)))</f>
        <v/>
      </c>
      <c r="L474" s="17" t="n"/>
      <c r="M474" s="17" t="n"/>
      <c r="N474">
        <f>IF(OR(A474="",C474="",D474="",L474="İptal"),"",IFERROR(INT(A474)*100000+ROUND(C474*1440,0)*10+MATCH(D474,Sahalar,0),""))</f>
        <v/>
      </c>
    </row>
    <row r="475">
      <c r="A475" s="16" t="n"/>
      <c r="B475" s="17">
        <f>IF(A475="","",CHOOSE(WEEKDAY(A475,2),"Pzt","Sal","Çar","Per","Cum","Cmt","Paz"))</f>
        <v/>
      </c>
      <c r="C475" s="18" t="n"/>
      <c r="D475" s="17" t="n"/>
      <c r="E475" s="17" t="n"/>
      <c r="F475" s="17" t="n"/>
      <c r="G475" s="17" t="n"/>
      <c r="H475" s="19">
        <f>IF(OR(A475="",C475=""),"",IF(WEEKDAY(A475,2)&gt;=6,UcretHaftaSonu,IF(OR(C475&gt;=AksamBas,C475&lt;TIME(6,0,0)),UcretAksam,UcretGunduz)))</f>
        <v/>
      </c>
      <c r="I475" s="19" t="n"/>
      <c r="J475" s="17" t="n"/>
      <c r="K475" s="19">
        <f>IF(H475="","",IF(J475="Evet",0,H475-N(I475)))</f>
        <v/>
      </c>
      <c r="L475" s="17" t="n"/>
      <c r="M475" s="17" t="n"/>
      <c r="N475">
        <f>IF(OR(A475="",C475="",D475="",L475="İptal"),"",IFERROR(INT(A475)*100000+ROUND(C475*1440,0)*10+MATCH(D475,Sahalar,0),""))</f>
        <v/>
      </c>
    </row>
    <row r="476">
      <c r="A476" s="16" t="n"/>
      <c r="B476" s="17">
        <f>IF(A476="","",CHOOSE(WEEKDAY(A476,2),"Pzt","Sal","Çar","Per","Cum","Cmt","Paz"))</f>
        <v/>
      </c>
      <c r="C476" s="18" t="n"/>
      <c r="D476" s="17" t="n"/>
      <c r="E476" s="17" t="n"/>
      <c r="F476" s="17" t="n"/>
      <c r="G476" s="17" t="n"/>
      <c r="H476" s="19">
        <f>IF(OR(A476="",C476=""),"",IF(WEEKDAY(A476,2)&gt;=6,UcretHaftaSonu,IF(OR(C476&gt;=AksamBas,C476&lt;TIME(6,0,0)),UcretAksam,UcretGunduz)))</f>
        <v/>
      </c>
      <c r="I476" s="19" t="n"/>
      <c r="J476" s="17" t="n"/>
      <c r="K476" s="19">
        <f>IF(H476="","",IF(J476="Evet",0,H476-N(I476)))</f>
        <v/>
      </c>
      <c r="L476" s="17" t="n"/>
      <c r="M476" s="17" t="n"/>
      <c r="N476">
        <f>IF(OR(A476="",C476="",D476="",L476="İptal"),"",IFERROR(INT(A476)*100000+ROUND(C476*1440,0)*10+MATCH(D476,Sahalar,0),""))</f>
        <v/>
      </c>
    </row>
    <row r="477">
      <c r="A477" s="16" t="n"/>
      <c r="B477" s="17">
        <f>IF(A477="","",CHOOSE(WEEKDAY(A477,2),"Pzt","Sal","Çar","Per","Cum","Cmt","Paz"))</f>
        <v/>
      </c>
      <c r="C477" s="18" t="n"/>
      <c r="D477" s="17" t="n"/>
      <c r="E477" s="17" t="n"/>
      <c r="F477" s="17" t="n"/>
      <c r="G477" s="17" t="n"/>
      <c r="H477" s="19">
        <f>IF(OR(A477="",C477=""),"",IF(WEEKDAY(A477,2)&gt;=6,UcretHaftaSonu,IF(OR(C477&gt;=AksamBas,C477&lt;TIME(6,0,0)),UcretAksam,UcretGunduz)))</f>
        <v/>
      </c>
      <c r="I477" s="19" t="n"/>
      <c r="J477" s="17" t="n"/>
      <c r="K477" s="19">
        <f>IF(H477="","",IF(J477="Evet",0,H477-N(I477)))</f>
        <v/>
      </c>
      <c r="L477" s="17" t="n"/>
      <c r="M477" s="17" t="n"/>
      <c r="N477">
        <f>IF(OR(A477="",C477="",D477="",L477="İptal"),"",IFERROR(INT(A477)*100000+ROUND(C477*1440,0)*10+MATCH(D477,Sahalar,0),""))</f>
        <v/>
      </c>
    </row>
    <row r="478">
      <c r="A478" s="16" t="n"/>
      <c r="B478" s="17">
        <f>IF(A478="","",CHOOSE(WEEKDAY(A478,2),"Pzt","Sal","Çar","Per","Cum","Cmt","Paz"))</f>
        <v/>
      </c>
      <c r="C478" s="18" t="n"/>
      <c r="D478" s="17" t="n"/>
      <c r="E478" s="17" t="n"/>
      <c r="F478" s="17" t="n"/>
      <c r="G478" s="17" t="n"/>
      <c r="H478" s="19">
        <f>IF(OR(A478="",C478=""),"",IF(WEEKDAY(A478,2)&gt;=6,UcretHaftaSonu,IF(OR(C478&gt;=AksamBas,C478&lt;TIME(6,0,0)),UcretAksam,UcretGunduz)))</f>
        <v/>
      </c>
      <c r="I478" s="19" t="n"/>
      <c r="J478" s="17" t="n"/>
      <c r="K478" s="19">
        <f>IF(H478="","",IF(J478="Evet",0,H478-N(I478)))</f>
        <v/>
      </c>
      <c r="L478" s="17" t="n"/>
      <c r="M478" s="17" t="n"/>
      <c r="N478">
        <f>IF(OR(A478="",C478="",D478="",L478="İptal"),"",IFERROR(INT(A478)*100000+ROUND(C478*1440,0)*10+MATCH(D478,Sahalar,0),""))</f>
        <v/>
      </c>
    </row>
    <row r="479">
      <c r="A479" s="16" t="n"/>
      <c r="B479" s="17">
        <f>IF(A479="","",CHOOSE(WEEKDAY(A479,2),"Pzt","Sal","Çar","Per","Cum","Cmt","Paz"))</f>
        <v/>
      </c>
      <c r="C479" s="18" t="n"/>
      <c r="D479" s="17" t="n"/>
      <c r="E479" s="17" t="n"/>
      <c r="F479" s="17" t="n"/>
      <c r="G479" s="17" t="n"/>
      <c r="H479" s="19">
        <f>IF(OR(A479="",C479=""),"",IF(WEEKDAY(A479,2)&gt;=6,UcretHaftaSonu,IF(OR(C479&gt;=AksamBas,C479&lt;TIME(6,0,0)),UcretAksam,UcretGunduz)))</f>
        <v/>
      </c>
      <c r="I479" s="19" t="n"/>
      <c r="J479" s="17" t="n"/>
      <c r="K479" s="19">
        <f>IF(H479="","",IF(J479="Evet",0,H479-N(I479)))</f>
        <v/>
      </c>
      <c r="L479" s="17" t="n"/>
      <c r="M479" s="17" t="n"/>
      <c r="N479">
        <f>IF(OR(A479="",C479="",D479="",L479="İptal"),"",IFERROR(INT(A479)*100000+ROUND(C479*1440,0)*10+MATCH(D479,Sahalar,0),""))</f>
        <v/>
      </c>
    </row>
    <row r="480">
      <c r="A480" s="16" t="n"/>
      <c r="B480" s="17">
        <f>IF(A480="","",CHOOSE(WEEKDAY(A480,2),"Pzt","Sal","Çar","Per","Cum","Cmt","Paz"))</f>
        <v/>
      </c>
      <c r="C480" s="18" t="n"/>
      <c r="D480" s="17" t="n"/>
      <c r="E480" s="17" t="n"/>
      <c r="F480" s="17" t="n"/>
      <c r="G480" s="17" t="n"/>
      <c r="H480" s="19">
        <f>IF(OR(A480="",C480=""),"",IF(WEEKDAY(A480,2)&gt;=6,UcretHaftaSonu,IF(OR(C480&gt;=AksamBas,C480&lt;TIME(6,0,0)),UcretAksam,UcretGunduz)))</f>
        <v/>
      </c>
      <c r="I480" s="19" t="n"/>
      <c r="J480" s="17" t="n"/>
      <c r="K480" s="19">
        <f>IF(H480="","",IF(J480="Evet",0,H480-N(I480)))</f>
        <v/>
      </c>
      <c r="L480" s="17" t="n"/>
      <c r="M480" s="17" t="n"/>
      <c r="N480">
        <f>IF(OR(A480="",C480="",D480="",L480="İptal"),"",IFERROR(INT(A480)*100000+ROUND(C480*1440,0)*10+MATCH(D480,Sahalar,0),""))</f>
        <v/>
      </c>
    </row>
    <row r="481">
      <c r="A481" s="16" t="n"/>
      <c r="B481" s="17">
        <f>IF(A481="","",CHOOSE(WEEKDAY(A481,2),"Pzt","Sal","Çar","Per","Cum","Cmt","Paz"))</f>
        <v/>
      </c>
      <c r="C481" s="18" t="n"/>
      <c r="D481" s="17" t="n"/>
      <c r="E481" s="17" t="n"/>
      <c r="F481" s="17" t="n"/>
      <c r="G481" s="17" t="n"/>
      <c r="H481" s="19">
        <f>IF(OR(A481="",C481=""),"",IF(WEEKDAY(A481,2)&gt;=6,UcretHaftaSonu,IF(OR(C481&gt;=AksamBas,C481&lt;TIME(6,0,0)),UcretAksam,UcretGunduz)))</f>
        <v/>
      </c>
      <c r="I481" s="19" t="n"/>
      <c r="J481" s="17" t="n"/>
      <c r="K481" s="19">
        <f>IF(H481="","",IF(J481="Evet",0,H481-N(I481)))</f>
        <v/>
      </c>
      <c r="L481" s="17" t="n"/>
      <c r="M481" s="17" t="n"/>
      <c r="N481">
        <f>IF(OR(A481="",C481="",D481="",L481="İptal"),"",IFERROR(INT(A481)*100000+ROUND(C481*1440,0)*10+MATCH(D481,Sahalar,0),""))</f>
        <v/>
      </c>
    </row>
    <row r="482">
      <c r="A482" s="16" t="n"/>
      <c r="B482" s="17">
        <f>IF(A482="","",CHOOSE(WEEKDAY(A482,2),"Pzt","Sal","Çar","Per","Cum","Cmt","Paz"))</f>
        <v/>
      </c>
      <c r="C482" s="18" t="n"/>
      <c r="D482" s="17" t="n"/>
      <c r="E482" s="17" t="n"/>
      <c r="F482" s="17" t="n"/>
      <c r="G482" s="17" t="n"/>
      <c r="H482" s="19">
        <f>IF(OR(A482="",C482=""),"",IF(WEEKDAY(A482,2)&gt;=6,UcretHaftaSonu,IF(OR(C482&gt;=AksamBas,C482&lt;TIME(6,0,0)),UcretAksam,UcretGunduz)))</f>
        <v/>
      </c>
      <c r="I482" s="19" t="n"/>
      <c r="J482" s="17" t="n"/>
      <c r="K482" s="19">
        <f>IF(H482="","",IF(J482="Evet",0,H482-N(I482)))</f>
        <v/>
      </c>
      <c r="L482" s="17" t="n"/>
      <c r="M482" s="17" t="n"/>
      <c r="N482">
        <f>IF(OR(A482="",C482="",D482="",L482="İptal"),"",IFERROR(INT(A482)*100000+ROUND(C482*1440,0)*10+MATCH(D482,Sahalar,0),""))</f>
        <v/>
      </c>
    </row>
    <row r="483">
      <c r="A483" s="16" t="n"/>
      <c r="B483" s="17">
        <f>IF(A483="","",CHOOSE(WEEKDAY(A483,2),"Pzt","Sal","Çar","Per","Cum","Cmt","Paz"))</f>
        <v/>
      </c>
      <c r="C483" s="18" t="n"/>
      <c r="D483" s="17" t="n"/>
      <c r="E483" s="17" t="n"/>
      <c r="F483" s="17" t="n"/>
      <c r="G483" s="17" t="n"/>
      <c r="H483" s="19">
        <f>IF(OR(A483="",C483=""),"",IF(WEEKDAY(A483,2)&gt;=6,UcretHaftaSonu,IF(OR(C483&gt;=AksamBas,C483&lt;TIME(6,0,0)),UcretAksam,UcretGunduz)))</f>
        <v/>
      </c>
      <c r="I483" s="19" t="n"/>
      <c r="J483" s="17" t="n"/>
      <c r="K483" s="19">
        <f>IF(H483="","",IF(J483="Evet",0,H483-N(I483)))</f>
        <v/>
      </c>
      <c r="L483" s="17" t="n"/>
      <c r="M483" s="17" t="n"/>
      <c r="N483">
        <f>IF(OR(A483="",C483="",D483="",L483="İptal"),"",IFERROR(INT(A483)*100000+ROUND(C483*1440,0)*10+MATCH(D483,Sahalar,0),""))</f>
        <v/>
      </c>
    </row>
    <row r="484">
      <c r="A484" s="16" t="n"/>
      <c r="B484" s="17">
        <f>IF(A484="","",CHOOSE(WEEKDAY(A484,2),"Pzt","Sal","Çar","Per","Cum","Cmt","Paz"))</f>
        <v/>
      </c>
      <c r="C484" s="18" t="n"/>
      <c r="D484" s="17" t="n"/>
      <c r="E484" s="17" t="n"/>
      <c r="F484" s="17" t="n"/>
      <c r="G484" s="17" t="n"/>
      <c r="H484" s="19">
        <f>IF(OR(A484="",C484=""),"",IF(WEEKDAY(A484,2)&gt;=6,UcretHaftaSonu,IF(OR(C484&gt;=AksamBas,C484&lt;TIME(6,0,0)),UcretAksam,UcretGunduz)))</f>
        <v/>
      </c>
      <c r="I484" s="19" t="n"/>
      <c r="J484" s="17" t="n"/>
      <c r="K484" s="19">
        <f>IF(H484="","",IF(J484="Evet",0,H484-N(I484)))</f>
        <v/>
      </c>
      <c r="L484" s="17" t="n"/>
      <c r="M484" s="17" t="n"/>
      <c r="N484">
        <f>IF(OR(A484="",C484="",D484="",L484="İptal"),"",IFERROR(INT(A484)*100000+ROUND(C484*1440,0)*10+MATCH(D484,Sahalar,0),""))</f>
        <v/>
      </c>
    </row>
    <row r="485">
      <c r="A485" s="16" t="n"/>
      <c r="B485" s="17">
        <f>IF(A485="","",CHOOSE(WEEKDAY(A485,2),"Pzt","Sal","Çar","Per","Cum","Cmt","Paz"))</f>
        <v/>
      </c>
      <c r="C485" s="18" t="n"/>
      <c r="D485" s="17" t="n"/>
      <c r="E485" s="17" t="n"/>
      <c r="F485" s="17" t="n"/>
      <c r="G485" s="17" t="n"/>
      <c r="H485" s="19">
        <f>IF(OR(A485="",C485=""),"",IF(WEEKDAY(A485,2)&gt;=6,UcretHaftaSonu,IF(OR(C485&gt;=AksamBas,C485&lt;TIME(6,0,0)),UcretAksam,UcretGunduz)))</f>
        <v/>
      </c>
      <c r="I485" s="19" t="n"/>
      <c r="J485" s="17" t="n"/>
      <c r="K485" s="19">
        <f>IF(H485="","",IF(J485="Evet",0,H485-N(I485)))</f>
        <v/>
      </c>
      <c r="L485" s="17" t="n"/>
      <c r="M485" s="17" t="n"/>
      <c r="N485">
        <f>IF(OR(A485="",C485="",D485="",L485="İptal"),"",IFERROR(INT(A485)*100000+ROUND(C485*1440,0)*10+MATCH(D485,Sahalar,0),""))</f>
        <v/>
      </c>
    </row>
    <row r="486">
      <c r="A486" s="16" t="n"/>
      <c r="B486" s="17">
        <f>IF(A486="","",CHOOSE(WEEKDAY(A486,2),"Pzt","Sal","Çar","Per","Cum","Cmt","Paz"))</f>
        <v/>
      </c>
      <c r="C486" s="18" t="n"/>
      <c r="D486" s="17" t="n"/>
      <c r="E486" s="17" t="n"/>
      <c r="F486" s="17" t="n"/>
      <c r="G486" s="17" t="n"/>
      <c r="H486" s="19">
        <f>IF(OR(A486="",C486=""),"",IF(WEEKDAY(A486,2)&gt;=6,UcretHaftaSonu,IF(OR(C486&gt;=AksamBas,C486&lt;TIME(6,0,0)),UcretAksam,UcretGunduz)))</f>
        <v/>
      </c>
      <c r="I486" s="19" t="n"/>
      <c r="J486" s="17" t="n"/>
      <c r="K486" s="19">
        <f>IF(H486="","",IF(J486="Evet",0,H486-N(I486)))</f>
        <v/>
      </c>
      <c r="L486" s="17" t="n"/>
      <c r="M486" s="17" t="n"/>
      <c r="N486">
        <f>IF(OR(A486="",C486="",D486="",L486="İptal"),"",IFERROR(INT(A486)*100000+ROUND(C486*1440,0)*10+MATCH(D486,Sahalar,0),""))</f>
        <v/>
      </c>
    </row>
    <row r="487">
      <c r="A487" s="16" t="n"/>
      <c r="B487" s="17">
        <f>IF(A487="","",CHOOSE(WEEKDAY(A487,2),"Pzt","Sal","Çar","Per","Cum","Cmt","Paz"))</f>
        <v/>
      </c>
      <c r="C487" s="18" t="n"/>
      <c r="D487" s="17" t="n"/>
      <c r="E487" s="17" t="n"/>
      <c r="F487" s="17" t="n"/>
      <c r="G487" s="17" t="n"/>
      <c r="H487" s="19">
        <f>IF(OR(A487="",C487=""),"",IF(WEEKDAY(A487,2)&gt;=6,UcretHaftaSonu,IF(OR(C487&gt;=AksamBas,C487&lt;TIME(6,0,0)),UcretAksam,UcretGunduz)))</f>
        <v/>
      </c>
      <c r="I487" s="19" t="n"/>
      <c r="J487" s="17" t="n"/>
      <c r="K487" s="19">
        <f>IF(H487="","",IF(J487="Evet",0,H487-N(I487)))</f>
        <v/>
      </c>
      <c r="L487" s="17" t="n"/>
      <c r="M487" s="17" t="n"/>
      <c r="N487">
        <f>IF(OR(A487="",C487="",D487="",L487="İptal"),"",IFERROR(INT(A487)*100000+ROUND(C487*1440,0)*10+MATCH(D487,Sahalar,0),""))</f>
        <v/>
      </c>
    </row>
    <row r="488">
      <c r="A488" s="16" t="n"/>
      <c r="B488" s="17">
        <f>IF(A488="","",CHOOSE(WEEKDAY(A488,2),"Pzt","Sal","Çar","Per","Cum","Cmt","Paz"))</f>
        <v/>
      </c>
      <c r="C488" s="18" t="n"/>
      <c r="D488" s="17" t="n"/>
      <c r="E488" s="17" t="n"/>
      <c r="F488" s="17" t="n"/>
      <c r="G488" s="17" t="n"/>
      <c r="H488" s="19">
        <f>IF(OR(A488="",C488=""),"",IF(WEEKDAY(A488,2)&gt;=6,UcretHaftaSonu,IF(OR(C488&gt;=AksamBas,C488&lt;TIME(6,0,0)),UcretAksam,UcretGunduz)))</f>
        <v/>
      </c>
      <c r="I488" s="19" t="n"/>
      <c r="J488" s="17" t="n"/>
      <c r="K488" s="19">
        <f>IF(H488="","",IF(J488="Evet",0,H488-N(I488)))</f>
        <v/>
      </c>
      <c r="L488" s="17" t="n"/>
      <c r="M488" s="17" t="n"/>
      <c r="N488">
        <f>IF(OR(A488="",C488="",D488="",L488="İptal"),"",IFERROR(INT(A488)*100000+ROUND(C488*1440,0)*10+MATCH(D488,Sahalar,0),""))</f>
        <v/>
      </c>
    </row>
    <row r="489">
      <c r="A489" s="16" t="n"/>
      <c r="B489" s="17">
        <f>IF(A489="","",CHOOSE(WEEKDAY(A489,2),"Pzt","Sal","Çar","Per","Cum","Cmt","Paz"))</f>
        <v/>
      </c>
      <c r="C489" s="18" t="n"/>
      <c r="D489" s="17" t="n"/>
      <c r="E489" s="17" t="n"/>
      <c r="F489" s="17" t="n"/>
      <c r="G489" s="17" t="n"/>
      <c r="H489" s="19">
        <f>IF(OR(A489="",C489=""),"",IF(WEEKDAY(A489,2)&gt;=6,UcretHaftaSonu,IF(OR(C489&gt;=AksamBas,C489&lt;TIME(6,0,0)),UcretAksam,UcretGunduz)))</f>
        <v/>
      </c>
      <c r="I489" s="19" t="n"/>
      <c r="J489" s="17" t="n"/>
      <c r="K489" s="19">
        <f>IF(H489="","",IF(J489="Evet",0,H489-N(I489)))</f>
        <v/>
      </c>
      <c r="L489" s="17" t="n"/>
      <c r="M489" s="17" t="n"/>
      <c r="N489">
        <f>IF(OR(A489="",C489="",D489="",L489="İptal"),"",IFERROR(INT(A489)*100000+ROUND(C489*1440,0)*10+MATCH(D489,Sahalar,0),""))</f>
        <v/>
      </c>
    </row>
    <row r="490">
      <c r="A490" s="16" t="n"/>
      <c r="B490" s="17">
        <f>IF(A490="","",CHOOSE(WEEKDAY(A490,2),"Pzt","Sal","Çar","Per","Cum","Cmt","Paz"))</f>
        <v/>
      </c>
      <c r="C490" s="18" t="n"/>
      <c r="D490" s="17" t="n"/>
      <c r="E490" s="17" t="n"/>
      <c r="F490" s="17" t="n"/>
      <c r="G490" s="17" t="n"/>
      <c r="H490" s="19">
        <f>IF(OR(A490="",C490=""),"",IF(WEEKDAY(A490,2)&gt;=6,UcretHaftaSonu,IF(OR(C490&gt;=AksamBas,C490&lt;TIME(6,0,0)),UcretAksam,UcretGunduz)))</f>
        <v/>
      </c>
      <c r="I490" s="19" t="n"/>
      <c r="J490" s="17" t="n"/>
      <c r="K490" s="19">
        <f>IF(H490="","",IF(J490="Evet",0,H490-N(I490)))</f>
        <v/>
      </c>
      <c r="L490" s="17" t="n"/>
      <c r="M490" s="17" t="n"/>
      <c r="N490">
        <f>IF(OR(A490="",C490="",D490="",L490="İptal"),"",IFERROR(INT(A490)*100000+ROUND(C490*1440,0)*10+MATCH(D490,Sahalar,0),""))</f>
        <v/>
      </c>
    </row>
    <row r="491">
      <c r="A491" s="16" t="n"/>
      <c r="B491" s="17">
        <f>IF(A491="","",CHOOSE(WEEKDAY(A491,2),"Pzt","Sal","Çar","Per","Cum","Cmt","Paz"))</f>
        <v/>
      </c>
      <c r="C491" s="18" t="n"/>
      <c r="D491" s="17" t="n"/>
      <c r="E491" s="17" t="n"/>
      <c r="F491" s="17" t="n"/>
      <c r="G491" s="17" t="n"/>
      <c r="H491" s="19">
        <f>IF(OR(A491="",C491=""),"",IF(WEEKDAY(A491,2)&gt;=6,UcretHaftaSonu,IF(OR(C491&gt;=AksamBas,C491&lt;TIME(6,0,0)),UcretAksam,UcretGunduz)))</f>
        <v/>
      </c>
      <c r="I491" s="19" t="n"/>
      <c r="J491" s="17" t="n"/>
      <c r="K491" s="19">
        <f>IF(H491="","",IF(J491="Evet",0,H491-N(I491)))</f>
        <v/>
      </c>
      <c r="L491" s="17" t="n"/>
      <c r="M491" s="17" t="n"/>
      <c r="N491">
        <f>IF(OR(A491="",C491="",D491="",L491="İptal"),"",IFERROR(INT(A491)*100000+ROUND(C491*1440,0)*10+MATCH(D491,Sahalar,0),""))</f>
        <v/>
      </c>
    </row>
    <row r="492">
      <c r="A492" s="16" t="n"/>
      <c r="B492" s="17">
        <f>IF(A492="","",CHOOSE(WEEKDAY(A492,2),"Pzt","Sal","Çar","Per","Cum","Cmt","Paz"))</f>
        <v/>
      </c>
      <c r="C492" s="18" t="n"/>
      <c r="D492" s="17" t="n"/>
      <c r="E492" s="17" t="n"/>
      <c r="F492" s="17" t="n"/>
      <c r="G492" s="17" t="n"/>
      <c r="H492" s="19">
        <f>IF(OR(A492="",C492=""),"",IF(WEEKDAY(A492,2)&gt;=6,UcretHaftaSonu,IF(OR(C492&gt;=AksamBas,C492&lt;TIME(6,0,0)),UcretAksam,UcretGunduz)))</f>
        <v/>
      </c>
      <c r="I492" s="19" t="n"/>
      <c r="J492" s="17" t="n"/>
      <c r="K492" s="19">
        <f>IF(H492="","",IF(J492="Evet",0,H492-N(I492)))</f>
        <v/>
      </c>
      <c r="L492" s="17" t="n"/>
      <c r="M492" s="17" t="n"/>
      <c r="N492">
        <f>IF(OR(A492="",C492="",D492="",L492="İptal"),"",IFERROR(INT(A492)*100000+ROUND(C492*1440,0)*10+MATCH(D492,Sahalar,0),""))</f>
        <v/>
      </c>
    </row>
    <row r="493">
      <c r="A493" s="16" t="n"/>
      <c r="B493" s="17">
        <f>IF(A493="","",CHOOSE(WEEKDAY(A493,2),"Pzt","Sal","Çar","Per","Cum","Cmt","Paz"))</f>
        <v/>
      </c>
      <c r="C493" s="18" t="n"/>
      <c r="D493" s="17" t="n"/>
      <c r="E493" s="17" t="n"/>
      <c r="F493" s="17" t="n"/>
      <c r="G493" s="17" t="n"/>
      <c r="H493" s="19">
        <f>IF(OR(A493="",C493=""),"",IF(WEEKDAY(A493,2)&gt;=6,UcretHaftaSonu,IF(OR(C493&gt;=AksamBas,C493&lt;TIME(6,0,0)),UcretAksam,UcretGunduz)))</f>
        <v/>
      </c>
      <c r="I493" s="19" t="n"/>
      <c r="J493" s="17" t="n"/>
      <c r="K493" s="19">
        <f>IF(H493="","",IF(J493="Evet",0,H493-N(I493)))</f>
        <v/>
      </c>
      <c r="L493" s="17" t="n"/>
      <c r="M493" s="17" t="n"/>
      <c r="N493">
        <f>IF(OR(A493="",C493="",D493="",L493="İptal"),"",IFERROR(INT(A493)*100000+ROUND(C493*1440,0)*10+MATCH(D493,Sahalar,0),""))</f>
        <v/>
      </c>
    </row>
    <row r="494">
      <c r="A494" s="16" t="n"/>
      <c r="B494" s="17">
        <f>IF(A494="","",CHOOSE(WEEKDAY(A494,2),"Pzt","Sal","Çar","Per","Cum","Cmt","Paz"))</f>
        <v/>
      </c>
      <c r="C494" s="18" t="n"/>
      <c r="D494" s="17" t="n"/>
      <c r="E494" s="17" t="n"/>
      <c r="F494" s="17" t="n"/>
      <c r="G494" s="17" t="n"/>
      <c r="H494" s="19">
        <f>IF(OR(A494="",C494=""),"",IF(WEEKDAY(A494,2)&gt;=6,UcretHaftaSonu,IF(OR(C494&gt;=AksamBas,C494&lt;TIME(6,0,0)),UcretAksam,UcretGunduz)))</f>
        <v/>
      </c>
      <c r="I494" s="19" t="n"/>
      <c r="J494" s="17" t="n"/>
      <c r="K494" s="19">
        <f>IF(H494="","",IF(J494="Evet",0,H494-N(I494)))</f>
        <v/>
      </c>
      <c r="L494" s="17" t="n"/>
      <c r="M494" s="17" t="n"/>
      <c r="N494">
        <f>IF(OR(A494="",C494="",D494="",L494="İptal"),"",IFERROR(INT(A494)*100000+ROUND(C494*1440,0)*10+MATCH(D494,Sahalar,0),""))</f>
        <v/>
      </c>
    </row>
    <row r="495">
      <c r="A495" s="16" t="n"/>
      <c r="B495" s="17">
        <f>IF(A495="","",CHOOSE(WEEKDAY(A495,2),"Pzt","Sal","Çar","Per","Cum","Cmt","Paz"))</f>
        <v/>
      </c>
      <c r="C495" s="18" t="n"/>
      <c r="D495" s="17" t="n"/>
      <c r="E495" s="17" t="n"/>
      <c r="F495" s="17" t="n"/>
      <c r="G495" s="17" t="n"/>
      <c r="H495" s="19">
        <f>IF(OR(A495="",C495=""),"",IF(WEEKDAY(A495,2)&gt;=6,UcretHaftaSonu,IF(OR(C495&gt;=AksamBas,C495&lt;TIME(6,0,0)),UcretAksam,UcretGunduz)))</f>
        <v/>
      </c>
      <c r="I495" s="19" t="n"/>
      <c r="J495" s="17" t="n"/>
      <c r="K495" s="19">
        <f>IF(H495="","",IF(J495="Evet",0,H495-N(I495)))</f>
        <v/>
      </c>
      <c r="L495" s="17" t="n"/>
      <c r="M495" s="17" t="n"/>
      <c r="N495">
        <f>IF(OR(A495="",C495="",D495="",L495="İptal"),"",IFERROR(INT(A495)*100000+ROUND(C495*1440,0)*10+MATCH(D495,Sahalar,0),""))</f>
        <v/>
      </c>
    </row>
    <row r="496">
      <c r="A496" s="16" t="n"/>
      <c r="B496" s="17">
        <f>IF(A496="","",CHOOSE(WEEKDAY(A496,2),"Pzt","Sal","Çar","Per","Cum","Cmt","Paz"))</f>
        <v/>
      </c>
      <c r="C496" s="18" t="n"/>
      <c r="D496" s="17" t="n"/>
      <c r="E496" s="17" t="n"/>
      <c r="F496" s="17" t="n"/>
      <c r="G496" s="17" t="n"/>
      <c r="H496" s="19">
        <f>IF(OR(A496="",C496=""),"",IF(WEEKDAY(A496,2)&gt;=6,UcretHaftaSonu,IF(OR(C496&gt;=AksamBas,C496&lt;TIME(6,0,0)),UcretAksam,UcretGunduz)))</f>
        <v/>
      </c>
      <c r="I496" s="19" t="n"/>
      <c r="J496" s="17" t="n"/>
      <c r="K496" s="19">
        <f>IF(H496="","",IF(J496="Evet",0,H496-N(I496)))</f>
        <v/>
      </c>
      <c r="L496" s="17" t="n"/>
      <c r="M496" s="17" t="n"/>
      <c r="N496">
        <f>IF(OR(A496="",C496="",D496="",L496="İptal"),"",IFERROR(INT(A496)*100000+ROUND(C496*1440,0)*10+MATCH(D496,Sahalar,0),""))</f>
        <v/>
      </c>
    </row>
    <row r="497">
      <c r="A497" s="16" t="n"/>
      <c r="B497" s="17">
        <f>IF(A497="","",CHOOSE(WEEKDAY(A497,2),"Pzt","Sal","Çar","Per","Cum","Cmt","Paz"))</f>
        <v/>
      </c>
      <c r="C497" s="18" t="n"/>
      <c r="D497" s="17" t="n"/>
      <c r="E497" s="17" t="n"/>
      <c r="F497" s="17" t="n"/>
      <c r="G497" s="17" t="n"/>
      <c r="H497" s="19">
        <f>IF(OR(A497="",C497=""),"",IF(WEEKDAY(A497,2)&gt;=6,UcretHaftaSonu,IF(OR(C497&gt;=AksamBas,C497&lt;TIME(6,0,0)),UcretAksam,UcretGunduz)))</f>
        <v/>
      </c>
      <c r="I497" s="19" t="n"/>
      <c r="J497" s="17" t="n"/>
      <c r="K497" s="19">
        <f>IF(H497="","",IF(J497="Evet",0,H497-N(I497)))</f>
        <v/>
      </c>
      <c r="L497" s="17" t="n"/>
      <c r="M497" s="17" t="n"/>
      <c r="N497">
        <f>IF(OR(A497="",C497="",D497="",L497="İptal"),"",IFERROR(INT(A497)*100000+ROUND(C497*1440,0)*10+MATCH(D497,Sahalar,0),""))</f>
        <v/>
      </c>
    </row>
    <row r="498">
      <c r="A498" s="16" t="n"/>
      <c r="B498" s="17">
        <f>IF(A498="","",CHOOSE(WEEKDAY(A498,2),"Pzt","Sal","Çar","Per","Cum","Cmt","Paz"))</f>
        <v/>
      </c>
      <c r="C498" s="18" t="n"/>
      <c r="D498" s="17" t="n"/>
      <c r="E498" s="17" t="n"/>
      <c r="F498" s="17" t="n"/>
      <c r="G498" s="17" t="n"/>
      <c r="H498" s="19">
        <f>IF(OR(A498="",C498=""),"",IF(WEEKDAY(A498,2)&gt;=6,UcretHaftaSonu,IF(OR(C498&gt;=AksamBas,C498&lt;TIME(6,0,0)),UcretAksam,UcretGunduz)))</f>
        <v/>
      </c>
      <c r="I498" s="19" t="n"/>
      <c r="J498" s="17" t="n"/>
      <c r="K498" s="19">
        <f>IF(H498="","",IF(J498="Evet",0,H498-N(I498)))</f>
        <v/>
      </c>
      <c r="L498" s="17" t="n"/>
      <c r="M498" s="17" t="n"/>
      <c r="N498">
        <f>IF(OR(A498="",C498="",D498="",L498="İptal"),"",IFERROR(INT(A498)*100000+ROUND(C498*1440,0)*10+MATCH(D498,Sahalar,0),""))</f>
        <v/>
      </c>
    </row>
    <row r="499">
      <c r="A499" s="16" t="n"/>
      <c r="B499" s="17">
        <f>IF(A499="","",CHOOSE(WEEKDAY(A499,2),"Pzt","Sal","Çar","Per","Cum","Cmt","Paz"))</f>
        <v/>
      </c>
      <c r="C499" s="18" t="n"/>
      <c r="D499" s="17" t="n"/>
      <c r="E499" s="17" t="n"/>
      <c r="F499" s="17" t="n"/>
      <c r="G499" s="17" t="n"/>
      <c r="H499" s="19">
        <f>IF(OR(A499="",C499=""),"",IF(WEEKDAY(A499,2)&gt;=6,UcretHaftaSonu,IF(OR(C499&gt;=AksamBas,C499&lt;TIME(6,0,0)),UcretAksam,UcretGunduz)))</f>
        <v/>
      </c>
      <c r="I499" s="19" t="n"/>
      <c r="J499" s="17" t="n"/>
      <c r="K499" s="19">
        <f>IF(H499="","",IF(J499="Evet",0,H499-N(I499)))</f>
        <v/>
      </c>
      <c r="L499" s="17" t="n"/>
      <c r="M499" s="17" t="n"/>
      <c r="N499">
        <f>IF(OR(A499="",C499="",D499="",L499="İptal"),"",IFERROR(INT(A499)*100000+ROUND(C499*1440,0)*10+MATCH(D499,Sahalar,0),""))</f>
        <v/>
      </c>
    </row>
    <row r="500">
      <c r="A500" s="16" t="n"/>
      <c r="B500" s="17">
        <f>IF(A500="","",CHOOSE(WEEKDAY(A500,2),"Pzt","Sal","Çar","Per","Cum","Cmt","Paz"))</f>
        <v/>
      </c>
      <c r="C500" s="18" t="n"/>
      <c r="D500" s="17" t="n"/>
      <c r="E500" s="17" t="n"/>
      <c r="F500" s="17" t="n"/>
      <c r="G500" s="17" t="n"/>
      <c r="H500" s="19">
        <f>IF(OR(A500="",C500=""),"",IF(WEEKDAY(A500,2)&gt;=6,UcretHaftaSonu,IF(OR(C500&gt;=AksamBas,C500&lt;TIME(6,0,0)),UcretAksam,UcretGunduz)))</f>
        <v/>
      </c>
      <c r="I500" s="19" t="n"/>
      <c r="J500" s="17" t="n"/>
      <c r="K500" s="19">
        <f>IF(H500="","",IF(J500="Evet",0,H500-N(I500)))</f>
        <v/>
      </c>
      <c r="L500" s="17" t="n"/>
      <c r="M500" s="17" t="n"/>
      <c r="N500">
        <f>IF(OR(A500="",C500="",D500="",L500="İptal"),"",IFERROR(INT(A500)*100000+ROUND(C500*1440,0)*10+MATCH(D500,Sahalar,0),""))</f>
        <v/>
      </c>
    </row>
    <row r="501">
      <c r="A501" s="16" t="n"/>
      <c r="B501" s="17">
        <f>IF(A501="","",CHOOSE(WEEKDAY(A501,2),"Pzt","Sal","Çar","Per","Cum","Cmt","Paz"))</f>
        <v/>
      </c>
      <c r="C501" s="18" t="n"/>
      <c r="D501" s="17" t="n"/>
      <c r="E501" s="17" t="n"/>
      <c r="F501" s="17" t="n"/>
      <c r="G501" s="17" t="n"/>
      <c r="H501" s="19">
        <f>IF(OR(A501="",C501=""),"",IF(WEEKDAY(A501,2)&gt;=6,UcretHaftaSonu,IF(OR(C501&gt;=AksamBas,C501&lt;TIME(6,0,0)),UcretAksam,UcretGunduz)))</f>
        <v/>
      </c>
      <c r="I501" s="19" t="n"/>
      <c r="J501" s="17" t="n"/>
      <c r="K501" s="19">
        <f>IF(H501="","",IF(J501="Evet",0,H501-N(I501)))</f>
        <v/>
      </c>
      <c r="L501" s="17" t="n"/>
      <c r="M501" s="17" t="n"/>
      <c r="N501">
        <f>IF(OR(A501="",C501="",D501="",L501="İptal"),"",IFERROR(INT(A501)*100000+ROUND(C501*1440,0)*10+MATCH(D501,Sahalar,0),""))</f>
        <v/>
      </c>
    </row>
  </sheetData>
  <autoFilter ref="A1:M501"/>
  <conditionalFormatting sqref="A2:M501">
    <cfRule type="expression" priority="1" dxfId="0">
      <formula>$L2="İptal"</formula>
    </cfRule>
  </conditionalFormatting>
  <conditionalFormatting sqref="L2:L501">
    <cfRule type="expression" priority="2" dxfId="1">
      <formula>$L2="Gelmedi"</formula>
    </cfRule>
  </conditionalFormatting>
  <conditionalFormatting sqref="K2:K501">
    <cfRule type="expression" priority="3" dxfId="2">
      <formula>AND(ISNUMBER($K2),$K2&gt;0)</formula>
    </cfRule>
  </conditionalFormatting>
  <dataValidations count="5">
    <dataValidation sqref="D2:D501" showDropDown="0" showInputMessage="0" showErrorMessage="0" allowBlank="1" type="list">
      <formula1>=Sahalar</formula1>
    </dataValidation>
    <dataValidation sqref="C2:C501" showDropDown="0" showInputMessage="0" showErrorMessage="0" allowBlank="1" type="list">
      <formula1>=Saatler</formula1>
    </dataValidation>
    <dataValidation sqref="G2:G501" showDropDown="0" showInputMessage="0" showErrorMessage="0" allowBlank="1" type="list">
      <formula1>=Turler</formula1>
    </dataValidation>
    <dataValidation sqref="J2:J501" showDropDown="0" showInputMessage="0" showErrorMessage="0" allowBlank="1" type="list">
      <formula1>=EvetHayir</formula1>
    </dataValidation>
    <dataValidation sqref="L2:L501" showDropDown="0" showInputMessage="0" showErrorMessage="0" allowBlank="1" type="list">
      <formula1>=Durumlar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6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7">
        <f>Tesis&amp;" · Haftalık çizelge"</f>
        <v/>
      </c>
      <c r="G1" s="8" t="inlineStr">
        <is>
          <t>tanrikuluapps.com ile hazırlandı</t>
        </is>
      </c>
    </row>
    <row r="2">
      <c r="A2" s="9" t="inlineStr">
        <is>
          <t>Hafta:</t>
        </is>
      </c>
      <c r="B2" s="21">
        <f>TODAY()-WEEKDAY(TODAY(),2)+1</f>
        <v/>
      </c>
      <c r="C2" s="22" t="inlineStr">
        <is>
          <t>← başka hafta için o haftanın pazartesisini yazın</t>
        </is>
      </c>
    </row>
    <row r="4">
      <c r="A4" s="3">
        <f>IF(INDEX(Sahalar,1)="","Saha 1 (Ayarlar'da boş — kullanılmıyor)",INDEX(Sahalar,1))</f>
        <v/>
      </c>
    </row>
    <row r="5">
      <c r="A5" s="15" t="inlineStr">
        <is>
          <t>Saat</t>
        </is>
      </c>
      <c r="B5" s="15">
        <f>"Pzt "&amp;DAY($B$2+0)&amp;"."&amp;MONTH($B$2+0)</f>
        <v/>
      </c>
      <c r="C5" s="15">
        <f>"Sal "&amp;DAY($B$2+1)&amp;"."&amp;MONTH($B$2+1)</f>
        <v/>
      </c>
      <c r="D5" s="15">
        <f>"Çar "&amp;DAY($B$2+2)&amp;"."&amp;MONTH($B$2+2)</f>
        <v/>
      </c>
      <c r="E5" s="15">
        <f>"Per "&amp;DAY($B$2+3)&amp;"."&amp;MONTH($B$2+3)</f>
        <v/>
      </c>
      <c r="F5" s="15">
        <f>"Cum "&amp;DAY($B$2+4)&amp;"."&amp;MONTH($B$2+4)</f>
        <v/>
      </c>
      <c r="G5" s="15">
        <f>"Cmt "&amp;DAY($B$2+5)&amp;"."&amp;MONTH($B$2+5)</f>
        <v/>
      </c>
      <c r="H5" s="15">
        <f>"Paz "&amp;DAY($B$2+6)&amp;"."&amp;MONTH($B$2+6)</f>
        <v/>
      </c>
    </row>
    <row r="6">
      <c r="A6" s="23">
        <f>INDEX(Saatler,1)</f>
        <v/>
      </c>
      <c r="B6" s="24">
        <f>IFERROR(INDEX(Rezervasyonlar!$E$2:$E$501,MATCH(INT($B$2+0)*100000+ROUND($A6*1440,0)*10+1,Rezervasyonlar!$N$2:$N$501,0)),"")</f>
        <v/>
      </c>
      <c r="C6" s="24">
        <f>IFERROR(INDEX(Rezervasyonlar!$E$2:$E$501,MATCH(INT($B$2+1)*100000+ROUND($A6*1440,0)*10+1,Rezervasyonlar!$N$2:$N$501,0)),"")</f>
        <v/>
      </c>
      <c r="D6" s="24">
        <f>IFERROR(INDEX(Rezervasyonlar!$E$2:$E$501,MATCH(INT($B$2+2)*100000+ROUND($A6*1440,0)*10+1,Rezervasyonlar!$N$2:$N$501,0)),"")</f>
        <v/>
      </c>
      <c r="E6" s="24">
        <f>IFERROR(INDEX(Rezervasyonlar!$E$2:$E$501,MATCH(INT($B$2+3)*100000+ROUND($A6*1440,0)*10+1,Rezervasyonlar!$N$2:$N$501,0)),"")</f>
        <v/>
      </c>
      <c r="F6" s="24">
        <f>IFERROR(INDEX(Rezervasyonlar!$E$2:$E$501,MATCH(INT($B$2+4)*100000+ROUND($A6*1440,0)*10+1,Rezervasyonlar!$N$2:$N$501,0)),"")</f>
        <v/>
      </c>
      <c r="G6" s="24">
        <f>IFERROR(INDEX(Rezervasyonlar!$E$2:$E$501,MATCH(INT($B$2+5)*100000+ROUND($A6*1440,0)*10+1,Rezervasyonlar!$N$2:$N$501,0)),"")</f>
        <v/>
      </c>
      <c r="H6" s="24">
        <f>IFERROR(INDEX(Rezervasyonlar!$E$2:$E$501,MATCH(INT($B$2+6)*100000+ROUND($A6*1440,0)*10+1,Rezervasyonlar!$N$2:$N$501,0)),"")</f>
        <v/>
      </c>
    </row>
    <row r="7">
      <c r="A7" s="23">
        <f>INDEX(Saatler,2)</f>
        <v/>
      </c>
      <c r="B7" s="24">
        <f>IFERROR(INDEX(Rezervasyonlar!$E$2:$E$501,MATCH(INT($B$2+0)*100000+ROUND($A7*1440,0)*10+1,Rezervasyonlar!$N$2:$N$501,0)),"")</f>
        <v/>
      </c>
      <c r="C7" s="24">
        <f>IFERROR(INDEX(Rezervasyonlar!$E$2:$E$501,MATCH(INT($B$2+1)*100000+ROUND($A7*1440,0)*10+1,Rezervasyonlar!$N$2:$N$501,0)),"")</f>
        <v/>
      </c>
      <c r="D7" s="24">
        <f>IFERROR(INDEX(Rezervasyonlar!$E$2:$E$501,MATCH(INT($B$2+2)*100000+ROUND($A7*1440,0)*10+1,Rezervasyonlar!$N$2:$N$501,0)),"")</f>
        <v/>
      </c>
      <c r="E7" s="24">
        <f>IFERROR(INDEX(Rezervasyonlar!$E$2:$E$501,MATCH(INT($B$2+3)*100000+ROUND($A7*1440,0)*10+1,Rezervasyonlar!$N$2:$N$501,0)),"")</f>
        <v/>
      </c>
      <c r="F7" s="24">
        <f>IFERROR(INDEX(Rezervasyonlar!$E$2:$E$501,MATCH(INT($B$2+4)*100000+ROUND($A7*1440,0)*10+1,Rezervasyonlar!$N$2:$N$501,0)),"")</f>
        <v/>
      </c>
      <c r="G7" s="24">
        <f>IFERROR(INDEX(Rezervasyonlar!$E$2:$E$501,MATCH(INT($B$2+5)*100000+ROUND($A7*1440,0)*10+1,Rezervasyonlar!$N$2:$N$501,0)),"")</f>
        <v/>
      </c>
      <c r="H7" s="24">
        <f>IFERROR(INDEX(Rezervasyonlar!$E$2:$E$501,MATCH(INT($B$2+6)*100000+ROUND($A7*1440,0)*10+1,Rezervasyonlar!$N$2:$N$501,0)),"")</f>
        <v/>
      </c>
    </row>
    <row r="8">
      <c r="A8" s="23">
        <f>INDEX(Saatler,3)</f>
        <v/>
      </c>
      <c r="B8" s="24">
        <f>IFERROR(INDEX(Rezervasyonlar!$E$2:$E$501,MATCH(INT($B$2+0)*100000+ROUND($A8*1440,0)*10+1,Rezervasyonlar!$N$2:$N$501,0)),"")</f>
        <v/>
      </c>
      <c r="C8" s="24">
        <f>IFERROR(INDEX(Rezervasyonlar!$E$2:$E$501,MATCH(INT($B$2+1)*100000+ROUND($A8*1440,0)*10+1,Rezervasyonlar!$N$2:$N$501,0)),"")</f>
        <v/>
      </c>
      <c r="D8" s="24">
        <f>IFERROR(INDEX(Rezervasyonlar!$E$2:$E$501,MATCH(INT($B$2+2)*100000+ROUND($A8*1440,0)*10+1,Rezervasyonlar!$N$2:$N$501,0)),"")</f>
        <v/>
      </c>
      <c r="E8" s="24">
        <f>IFERROR(INDEX(Rezervasyonlar!$E$2:$E$501,MATCH(INT($B$2+3)*100000+ROUND($A8*1440,0)*10+1,Rezervasyonlar!$N$2:$N$501,0)),"")</f>
        <v/>
      </c>
      <c r="F8" s="24">
        <f>IFERROR(INDEX(Rezervasyonlar!$E$2:$E$501,MATCH(INT($B$2+4)*100000+ROUND($A8*1440,0)*10+1,Rezervasyonlar!$N$2:$N$501,0)),"")</f>
        <v/>
      </c>
      <c r="G8" s="24">
        <f>IFERROR(INDEX(Rezervasyonlar!$E$2:$E$501,MATCH(INT($B$2+5)*100000+ROUND($A8*1440,0)*10+1,Rezervasyonlar!$N$2:$N$501,0)),"")</f>
        <v/>
      </c>
      <c r="H8" s="24">
        <f>IFERROR(INDEX(Rezervasyonlar!$E$2:$E$501,MATCH(INT($B$2+6)*100000+ROUND($A8*1440,0)*10+1,Rezervasyonlar!$N$2:$N$501,0)),"")</f>
        <v/>
      </c>
    </row>
    <row r="9">
      <c r="A9" s="23">
        <f>INDEX(Saatler,4)</f>
        <v/>
      </c>
      <c r="B9" s="24">
        <f>IFERROR(INDEX(Rezervasyonlar!$E$2:$E$501,MATCH(INT($B$2+0)*100000+ROUND($A9*1440,0)*10+1,Rezervasyonlar!$N$2:$N$501,0)),"")</f>
        <v/>
      </c>
      <c r="C9" s="24">
        <f>IFERROR(INDEX(Rezervasyonlar!$E$2:$E$501,MATCH(INT($B$2+1)*100000+ROUND($A9*1440,0)*10+1,Rezervasyonlar!$N$2:$N$501,0)),"")</f>
        <v/>
      </c>
      <c r="D9" s="24">
        <f>IFERROR(INDEX(Rezervasyonlar!$E$2:$E$501,MATCH(INT($B$2+2)*100000+ROUND($A9*1440,0)*10+1,Rezervasyonlar!$N$2:$N$501,0)),"")</f>
        <v/>
      </c>
      <c r="E9" s="24">
        <f>IFERROR(INDEX(Rezervasyonlar!$E$2:$E$501,MATCH(INT($B$2+3)*100000+ROUND($A9*1440,0)*10+1,Rezervasyonlar!$N$2:$N$501,0)),"")</f>
        <v/>
      </c>
      <c r="F9" s="24">
        <f>IFERROR(INDEX(Rezervasyonlar!$E$2:$E$501,MATCH(INT($B$2+4)*100000+ROUND($A9*1440,0)*10+1,Rezervasyonlar!$N$2:$N$501,0)),"")</f>
        <v/>
      </c>
      <c r="G9" s="24">
        <f>IFERROR(INDEX(Rezervasyonlar!$E$2:$E$501,MATCH(INT($B$2+5)*100000+ROUND($A9*1440,0)*10+1,Rezervasyonlar!$N$2:$N$501,0)),"")</f>
        <v/>
      </c>
      <c r="H9" s="24">
        <f>IFERROR(INDEX(Rezervasyonlar!$E$2:$E$501,MATCH(INT($B$2+6)*100000+ROUND($A9*1440,0)*10+1,Rezervasyonlar!$N$2:$N$501,0)),"")</f>
        <v/>
      </c>
    </row>
    <row r="10">
      <c r="A10" s="23">
        <f>INDEX(Saatler,5)</f>
        <v/>
      </c>
      <c r="B10" s="24">
        <f>IFERROR(INDEX(Rezervasyonlar!$E$2:$E$501,MATCH(INT($B$2+0)*100000+ROUND($A10*1440,0)*10+1,Rezervasyonlar!$N$2:$N$501,0)),"")</f>
        <v/>
      </c>
      <c r="C10" s="24">
        <f>IFERROR(INDEX(Rezervasyonlar!$E$2:$E$501,MATCH(INT($B$2+1)*100000+ROUND($A10*1440,0)*10+1,Rezervasyonlar!$N$2:$N$501,0)),"")</f>
        <v/>
      </c>
      <c r="D10" s="24">
        <f>IFERROR(INDEX(Rezervasyonlar!$E$2:$E$501,MATCH(INT($B$2+2)*100000+ROUND($A10*1440,0)*10+1,Rezervasyonlar!$N$2:$N$501,0)),"")</f>
        <v/>
      </c>
      <c r="E10" s="24">
        <f>IFERROR(INDEX(Rezervasyonlar!$E$2:$E$501,MATCH(INT($B$2+3)*100000+ROUND($A10*1440,0)*10+1,Rezervasyonlar!$N$2:$N$501,0)),"")</f>
        <v/>
      </c>
      <c r="F10" s="24">
        <f>IFERROR(INDEX(Rezervasyonlar!$E$2:$E$501,MATCH(INT($B$2+4)*100000+ROUND($A10*1440,0)*10+1,Rezervasyonlar!$N$2:$N$501,0)),"")</f>
        <v/>
      </c>
      <c r="G10" s="24">
        <f>IFERROR(INDEX(Rezervasyonlar!$E$2:$E$501,MATCH(INT($B$2+5)*100000+ROUND($A10*1440,0)*10+1,Rezervasyonlar!$N$2:$N$501,0)),"")</f>
        <v/>
      </c>
      <c r="H10" s="24">
        <f>IFERROR(INDEX(Rezervasyonlar!$E$2:$E$501,MATCH(INT($B$2+6)*100000+ROUND($A10*1440,0)*10+1,Rezervasyonlar!$N$2:$N$501,0)),"")</f>
        <v/>
      </c>
    </row>
    <row r="11">
      <c r="A11" s="23">
        <f>INDEX(Saatler,6)</f>
        <v/>
      </c>
      <c r="B11" s="24">
        <f>IFERROR(INDEX(Rezervasyonlar!$E$2:$E$501,MATCH(INT($B$2+0)*100000+ROUND($A11*1440,0)*10+1,Rezervasyonlar!$N$2:$N$501,0)),"")</f>
        <v/>
      </c>
      <c r="C11" s="24">
        <f>IFERROR(INDEX(Rezervasyonlar!$E$2:$E$501,MATCH(INT($B$2+1)*100000+ROUND($A11*1440,0)*10+1,Rezervasyonlar!$N$2:$N$501,0)),"")</f>
        <v/>
      </c>
      <c r="D11" s="24">
        <f>IFERROR(INDEX(Rezervasyonlar!$E$2:$E$501,MATCH(INT($B$2+2)*100000+ROUND($A11*1440,0)*10+1,Rezervasyonlar!$N$2:$N$501,0)),"")</f>
        <v/>
      </c>
      <c r="E11" s="24">
        <f>IFERROR(INDEX(Rezervasyonlar!$E$2:$E$501,MATCH(INT($B$2+3)*100000+ROUND($A11*1440,0)*10+1,Rezervasyonlar!$N$2:$N$501,0)),"")</f>
        <v/>
      </c>
      <c r="F11" s="24">
        <f>IFERROR(INDEX(Rezervasyonlar!$E$2:$E$501,MATCH(INT($B$2+4)*100000+ROUND($A11*1440,0)*10+1,Rezervasyonlar!$N$2:$N$501,0)),"")</f>
        <v/>
      </c>
      <c r="G11" s="24">
        <f>IFERROR(INDEX(Rezervasyonlar!$E$2:$E$501,MATCH(INT($B$2+5)*100000+ROUND($A11*1440,0)*10+1,Rezervasyonlar!$N$2:$N$501,0)),"")</f>
        <v/>
      </c>
      <c r="H11" s="24">
        <f>IFERROR(INDEX(Rezervasyonlar!$E$2:$E$501,MATCH(INT($B$2+6)*100000+ROUND($A11*1440,0)*10+1,Rezervasyonlar!$N$2:$N$501,0)),"")</f>
        <v/>
      </c>
    </row>
    <row r="12">
      <c r="A12" s="23">
        <f>INDEX(Saatler,7)</f>
        <v/>
      </c>
      <c r="B12" s="24">
        <f>IFERROR(INDEX(Rezervasyonlar!$E$2:$E$501,MATCH(INT($B$2+0)*100000+ROUND($A12*1440,0)*10+1,Rezervasyonlar!$N$2:$N$501,0)),"")</f>
        <v/>
      </c>
      <c r="C12" s="24">
        <f>IFERROR(INDEX(Rezervasyonlar!$E$2:$E$501,MATCH(INT($B$2+1)*100000+ROUND($A12*1440,0)*10+1,Rezervasyonlar!$N$2:$N$501,0)),"")</f>
        <v/>
      </c>
      <c r="D12" s="24">
        <f>IFERROR(INDEX(Rezervasyonlar!$E$2:$E$501,MATCH(INT($B$2+2)*100000+ROUND($A12*1440,0)*10+1,Rezervasyonlar!$N$2:$N$501,0)),"")</f>
        <v/>
      </c>
      <c r="E12" s="24">
        <f>IFERROR(INDEX(Rezervasyonlar!$E$2:$E$501,MATCH(INT($B$2+3)*100000+ROUND($A12*1440,0)*10+1,Rezervasyonlar!$N$2:$N$501,0)),"")</f>
        <v/>
      </c>
      <c r="F12" s="24">
        <f>IFERROR(INDEX(Rezervasyonlar!$E$2:$E$501,MATCH(INT($B$2+4)*100000+ROUND($A12*1440,0)*10+1,Rezervasyonlar!$N$2:$N$501,0)),"")</f>
        <v/>
      </c>
      <c r="G12" s="24">
        <f>IFERROR(INDEX(Rezervasyonlar!$E$2:$E$501,MATCH(INT($B$2+5)*100000+ROUND($A12*1440,0)*10+1,Rezervasyonlar!$N$2:$N$501,0)),"")</f>
        <v/>
      </c>
      <c r="H12" s="24">
        <f>IFERROR(INDEX(Rezervasyonlar!$E$2:$E$501,MATCH(INT($B$2+6)*100000+ROUND($A12*1440,0)*10+1,Rezervasyonlar!$N$2:$N$501,0)),"")</f>
        <v/>
      </c>
    </row>
    <row r="13">
      <c r="A13" s="23">
        <f>INDEX(Saatler,8)</f>
        <v/>
      </c>
      <c r="B13" s="24">
        <f>IFERROR(INDEX(Rezervasyonlar!$E$2:$E$501,MATCH(INT($B$2+0)*100000+ROUND($A13*1440,0)*10+1,Rezervasyonlar!$N$2:$N$501,0)),"")</f>
        <v/>
      </c>
      <c r="C13" s="24">
        <f>IFERROR(INDEX(Rezervasyonlar!$E$2:$E$501,MATCH(INT($B$2+1)*100000+ROUND($A13*1440,0)*10+1,Rezervasyonlar!$N$2:$N$501,0)),"")</f>
        <v/>
      </c>
      <c r="D13" s="24">
        <f>IFERROR(INDEX(Rezervasyonlar!$E$2:$E$501,MATCH(INT($B$2+2)*100000+ROUND($A13*1440,0)*10+1,Rezervasyonlar!$N$2:$N$501,0)),"")</f>
        <v/>
      </c>
      <c r="E13" s="24">
        <f>IFERROR(INDEX(Rezervasyonlar!$E$2:$E$501,MATCH(INT($B$2+3)*100000+ROUND($A13*1440,0)*10+1,Rezervasyonlar!$N$2:$N$501,0)),"")</f>
        <v/>
      </c>
      <c r="F13" s="24">
        <f>IFERROR(INDEX(Rezervasyonlar!$E$2:$E$501,MATCH(INT($B$2+4)*100000+ROUND($A13*1440,0)*10+1,Rezervasyonlar!$N$2:$N$501,0)),"")</f>
        <v/>
      </c>
      <c r="G13" s="24">
        <f>IFERROR(INDEX(Rezervasyonlar!$E$2:$E$501,MATCH(INT($B$2+5)*100000+ROUND($A13*1440,0)*10+1,Rezervasyonlar!$N$2:$N$501,0)),"")</f>
        <v/>
      </c>
      <c r="H13" s="24">
        <f>IFERROR(INDEX(Rezervasyonlar!$E$2:$E$501,MATCH(INT($B$2+6)*100000+ROUND($A13*1440,0)*10+1,Rezervasyonlar!$N$2:$N$501,0)),"")</f>
        <v/>
      </c>
    </row>
    <row r="14">
      <c r="A14" s="23">
        <f>INDEX(Saatler,9)</f>
        <v/>
      </c>
      <c r="B14" s="24">
        <f>IFERROR(INDEX(Rezervasyonlar!$E$2:$E$501,MATCH(INT($B$2+0)*100000+ROUND($A14*1440,0)*10+1,Rezervasyonlar!$N$2:$N$501,0)),"")</f>
        <v/>
      </c>
      <c r="C14" s="24">
        <f>IFERROR(INDEX(Rezervasyonlar!$E$2:$E$501,MATCH(INT($B$2+1)*100000+ROUND($A14*1440,0)*10+1,Rezervasyonlar!$N$2:$N$501,0)),"")</f>
        <v/>
      </c>
      <c r="D14" s="24">
        <f>IFERROR(INDEX(Rezervasyonlar!$E$2:$E$501,MATCH(INT($B$2+2)*100000+ROUND($A14*1440,0)*10+1,Rezervasyonlar!$N$2:$N$501,0)),"")</f>
        <v/>
      </c>
      <c r="E14" s="24">
        <f>IFERROR(INDEX(Rezervasyonlar!$E$2:$E$501,MATCH(INT($B$2+3)*100000+ROUND($A14*1440,0)*10+1,Rezervasyonlar!$N$2:$N$501,0)),"")</f>
        <v/>
      </c>
      <c r="F14" s="24">
        <f>IFERROR(INDEX(Rezervasyonlar!$E$2:$E$501,MATCH(INT($B$2+4)*100000+ROUND($A14*1440,0)*10+1,Rezervasyonlar!$N$2:$N$501,0)),"")</f>
        <v/>
      </c>
      <c r="G14" s="24">
        <f>IFERROR(INDEX(Rezervasyonlar!$E$2:$E$501,MATCH(INT($B$2+5)*100000+ROUND($A14*1440,0)*10+1,Rezervasyonlar!$N$2:$N$501,0)),"")</f>
        <v/>
      </c>
      <c r="H14" s="24">
        <f>IFERROR(INDEX(Rezervasyonlar!$E$2:$E$501,MATCH(INT($B$2+6)*100000+ROUND($A14*1440,0)*10+1,Rezervasyonlar!$N$2:$N$501,0)),"")</f>
        <v/>
      </c>
    </row>
    <row r="15">
      <c r="A15" s="23">
        <f>INDEX(Saatler,10)</f>
        <v/>
      </c>
      <c r="B15" s="24">
        <f>IFERROR(INDEX(Rezervasyonlar!$E$2:$E$501,MATCH(INT($B$2+0)*100000+ROUND($A15*1440,0)*10+1,Rezervasyonlar!$N$2:$N$501,0)),"")</f>
        <v/>
      </c>
      <c r="C15" s="24">
        <f>IFERROR(INDEX(Rezervasyonlar!$E$2:$E$501,MATCH(INT($B$2+1)*100000+ROUND($A15*1440,0)*10+1,Rezervasyonlar!$N$2:$N$501,0)),"")</f>
        <v/>
      </c>
      <c r="D15" s="24">
        <f>IFERROR(INDEX(Rezervasyonlar!$E$2:$E$501,MATCH(INT($B$2+2)*100000+ROUND($A15*1440,0)*10+1,Rezervasyonlar!$N$2:$N$501,0)),"")</f>
        <v/>
      </c>
      <c r="E15" s="24">
        <f>IFERROR(INDEX(Rezervasyonlar!$E$2:$E$501,MATCH(INT($B$2+3)*100000+ROUND($A15*1440,0)*10+1,Rezervasyonlar!$N$2:$N$501,0)),"")</f>
        <v/>
      </c>
      <c r="F15" s="24">
        <f>IFERROR(INDEX(Rezervasyonlar!$E$2:$E$501,MATCH(INT($B$2+4)*100000+ROUND($A15*1440,0)*10+1,Rezervasyonlar!$N$2:$N$501,0)),"")</f>
        <v/>
      </c>
      <c r="G15" s="24">
        <f>IFERROR(INDEX(Rezervasyonlar!$E$2:$E$501,MATCH(INT($B$2+5)*100000+ROUND($A15*1440,0)*10+1,Rezervasyonlar!$N$2:$N$501,0)),"")</f>
        <v/>
      </c>
      <c r="H15" s="24">
        <f>IFERROR(INDEX(Rezervasyonlar!$E$2:$E$501,MATCH(INT($B$2+6)*100000+ROUND($A15*1440,0)*10+1,Rezervasyonlar!$N$2:$N$501,0)),"")</f>
        <v/>
      </c>
    </row>
    <row r="16">
      <c r="A16" s="23">
        <f>INDEX(Saatler,11)</f>
        <v/>
      </c>
      <c r="B16" s="24">
        <f>IFERROR(INDEX(Rezervasyonlar!$E$2:$E$501,MATCH(INT($B$2+0)*100000+ROUND($A16*1440,0)*10+1,Rezervasyonlar!$N$2:$N$501,0)),"")</f>
        <v/>
      </c>
      <c r="C16" s="24">
        <f>IFERROR(INDEX(Rezervasyonlar!$E$2:$E$501,MATCH(INT($B$2+1)*100000+ROUND($A16*1440,0)*10+1,Rezervasyonlar!$N$2:$N$501,0)),"")</f>
        <v/>
      </c>
      <c r="D16" s="24">
        <f>IFERROR(INDEX(Rezervasyonlar!$E$2:$E$501,MATCH(INT($B$2+2)*100000+ROUND($A16*1440,0)*10+1,Rezervasyonlar!$N$2:$N$501,0)),"")</f>
        <v/>
      </c>
      <c r="E16" s="24">
        <f>IFERROR(INDEX(Rezervasyonlar!$E$2:$E$501,MATCH(INT($B$2+3)*100000+ROUND($A16*1440,0)*10+1,Rezervasyonlar!$N$2:$N$501,0)),"")</f>
        <v/>
      </c>
      <c r="F16" s="24">
        <f>IFERROR(INDEX(Rezervasyonlar!$E$2:$E$501,MATCH(INT($B$2+4)*100000+ROUND($A16*1440,0)*10+1,Rezervasyonlar!$N$2:$N$501,0)),"")</f>
        <v/>
      </c>
      <c r="G16" s="24">
        <f>IFERROR(INDEX(Rezervasyonlar!$E$2:$E$501,MATCH(INT($B$2+5)*100000+ROUND($A16*1440,0)*10+1,Rezervasyonlar!$N$2:$N$501,0)),"")</f>
        <v/>
      </c>
      <c r="H16" s="24">
        <f>IFERROR(INDEX(Rezervasyonlar!$E$2:$E$501,MATCH(INT($B$2+6)*100000+ROUND($A16*1440,0)*10+1,Rezervasyonlar!$N$2:$N$501,0)),"")</f>
        <v/>
      </c>
    </row>
    <row r="17">
      <c r="A17" s="23">
        <f>INDEX(Saatler,12)</f>
        <v/>
      </c>
      <c r="B17" s="24">
        <f>IFERROR(INDEX(Rezervasyonlar!$E$2:$E$501,MATCH(INT($B$2+0)*100000+ROUND($A17*1440,0)*10+1,Rezervasyonlar!$N$2:$N$501,0)),"")</f>
        <v/>
      </c>
      <c r="C17" s="24">
        <f>IFERROR(INDEX(Rezervasyonlar!$E$2:$E$501,MATCH(INT($B$2+1)*100000+ROUND($A17*1440,0)*10+1,Rezervasyonlar!$N$2:$N$501,0)),"")</f>
        <v/>
      </c>
      <c r="D17" s="24">
        <f>IFERROR(INDEX(Rezervasyonlar!$E$2:$E$501,MATCH(INT($B$2+2)*100000+ROUND($A17*1440,0)*10+1,Rezervasyonlar!$N$2:$N$501,0)),"")</f>
        <v/>
      </c>
      <c r="E17" s="24">
        <f>IFERROR(INDEX(Rezervasyonlar!$E$2:$E$501,MATCH(INT($B$2+3)*100000+ROUND($A17*1440,0)*10+1,Rezervasyonlar!$N$2:$N$501,0)),"")</f>
        <v/>
      </c>
      <c r="F17" s="24">
        <f>IFERROR(INDEX(Rezervasyonlar!$E$2:$E$501,MATCH(INT($B$2+4)*100000+ROUND($A17*1440,0)*10+1,Rezervasyonlar!$N$2:$N$501,0)),"")</f>
        <v/>
      </c>
      <c r="G17" s="24">
        <f>IFERROR(INDEX(Rezervasyonlar!$E$2:$E$501,MATCH(INT($B$2+5)*100000+ROUND($A17*1440,0)*10+1,Rezervasyonlar!$N$2:$N$501,0)),"")</f>
        <v/>
      </c>
      <c r="H17" s="24">
        <f>IFERROR(INDEX(Rezervasyonlar!$E$2:$E$501,MATCH(INT($B$2+6)*100000+ROUND($A17*1440,0)*10+1,Rezervasyonlar!$N$2:$N$501,0)),"")</f>
        <v/>
      </c>
    </row>
    <row r="18">
      <c r="A18" s="23">
        <f>INDEX(Saatler,13)</f>
        <v/>
      </c>
      <c r="B18" s="24">
        <f>IFERROR(INDEX(Rezervasyonlar!$E$2:$E$501,MATCH(INT($B$2+0)*100000+ROUND($A18*1440,0)*10+1,Rezervasyonlar!$N$2:$N$501,0)),"")</f>
        <v/>
      </c>
      <c r="C18" s="24">
        <f>IFERROR(INDEX(Rezervasyonlar!$E$2:$E$501,MATCH(INT($B$2+1)*100000+ROUND($A18*1440,0)*10+1,Rezervasyonlar!$N$2:$N$501,0)),"")</f>
        <v/>
      </c>
      <c r="D18" s="24">
        <f>IFERROR(INDEX(Rezervasyonlar!$E$2:$E$501,MATCH(INT($B$2+2)*100000+ROUND($A18*1440,0)*10+1,Rezervasyonlar!$N$2:$N$501,0)),"")</f>
        <v/>
      </c>
      <c r="E18" s="24">
        <f>IFERROR(INDEX(Rezervasyonlar!$E$2:$E$501,MATCH(INT($B$2+3)*100000+ROUND($A18*1440,0)*10+1,Rezervasyonlar!$N$2:$N$501,0)),"")</f>
        <v/>
      </c>
      <c r="F18" s="24">
        <f>IFERROR(INDEX(Rezervasyonlar!$E$2:$E$501,MATCH(INT($B$2+4)*100000+ROUND($A18*1440,0)*10+1,Rezervasyonlar!$N$2:$N$501,0)),"")</f>
        <v/>
      </c>
      <c r="G18" s="24">
        <f>IFERROR(INDEX(Rezervasyonlar!$E$2:$E$501,MATCH(INT($B$2+5)*100000+ROUND($A18*1440,0)*10+1,Rezervasyonlar!$N$2:$N$501,0)),"")</f>
        <v/>
      </c>
      <c r="H18" s="24">
        <f>IFERROR(INDEX(Rezervasyonlar!$E$2:$E$501,MATCH(INT($B$2+6)*100000+ROUND($A18*1440,0)*10+1,Rezervasyonlar!$N$2:$N$501,0)),"")</f>
        <v/>
      </c>
    </row>
    <row r="19">
      <c r="A19" s="23">
        <f>INDEX(Saatler,14)</f>
        <v/>
      </c>
      <c r="B19" s="24">
        <f>IFERROR(INDEX(Rezervasyonlar!$E$2:$E$501,MATCH(INT($B$2+0)*100000+ROUND($A19*1440,0)*10+1,Rezervasyonlar!$N$2:$N$501,0)),"")</f>
        <v/>
      </c>
      <c r="C19" s="24">
        <f>IFERROR(INDEX(Rezervasyonlar!$E$2:$E$501,MATCH(INT($B$2+1)*100000+ROUND($A19*1440,0)*10+1,Rezervasyonlar!$N$2:$N$501,0)),"")</f>
        <v/>
      </c>
      <c r="D19" s="24">
        <f>IFERROR(INDEX(Rezervasyonlar!$E$2:$E$501,MATCH(INT($B$2+2)*100000+ROUND($A19*1440,0)*10+1,Rezervasyonlar!$N$2:$N$501,0)),"")</f>
        <v/>
      </c>
      <c r="E19" s="24">
        <f>IFERROR(INDEX(Rezervasyonlar!$E$2:$E$501,MATCH(INT($B$2+3)*100000+ROUND($A19*1440,0)*10+1,Rezervasyonlar!$N$2:$N$501,0)),"")</f>
        <v/>
      </c>
      <c r="F19" s="24">
        <f>IFERROR(INDEX(Rezervasyonlar!$E$2:$E$501,MATCH(INT($B$2+4)*100000+ROUND($A19*1440,0)*10+1,Rezervasyonlar!$N$2:$N$501,0)),"")</f>
        <v/>
      </c>
      <c r="G19" s="24">
        <f>IFERROR(INDEX(Rezervasyonlar!$E$2:$E$501,MATCH(INT($B$2+5)*100000+ROUND($A19*1440,0)*10+1,Rezervasyonlar!$N$2:$N$501,0)),"")</f>
        <v/>
      </c>
      <c r="H19" s="24">
        <f>IFERROR(INDEX(Rezervasyonlar!$E$2:$E$501,MATCH(INT($B$2+6)*100000+ROUND($A19*1440,0)*10+1,Rezervasyonlar!$N$2:$N$501,0)),"")</f>
        <v/>
      </c>
    </row>
    <row r="20">
      <c r="A20" s="23">
        <f>INDEX(Saatler,15)</f>
        <v/>
      </c>
      <c r="B20" s="24">
        <f>IFERROR(INDEX(Rezervasyonlar!$E$2:$E$501,MATCH(INT($B$2+0)*100000+ROUND($A20*1440,0)*10+1,Rezervasyonlar!$N$2:$N$501,0)),"")</f>
        <v/>
      </c>
      <c r="C20" s="24">
        <f>IFERROR(INDEX(Rezervasyonlar!$E$2:$E$501,MATCH(INT($B$2+1)*100000+ROUND($A20*1440,0)*10+1,Rezervasyonlar!$N$2:$N$501,0)),"")</f>
        <v/>
      </c>
      <c r="D20" s="24">
        <f>IFERROR(INDEX(Rezervasyonlar!$E$2:$E$501,MATCH(INT($B$2+2)*100000+ROUND($A20*1440,0)*10+1,Rezervasyonlar!$N$2:$N$501,0)),"")</f>
        <v/>
      </c>
      <c r="E20" s="24">
        <f>IFERROR(INDEX(Rezervasyonlar!$E$2:$E$501,MATCH(INT($B$2+3)*100000+ROUND($A20*1440,0)*10+1,Rezervasyonlar!$N$2:$N$501,0)),"")</f>
        <v/>
      </c>
      <c r="F20" s="24">
        <f>IFERROR(INDEX(Rezervasyonlar!$E$2:$E$501,MATCH(INT($B$2+4)*100000+ROUND($A20*1440,0)*10+1,Rezervasyonlar!$N$2:$N$501,0)),"")</f>
        <v/>
      </c>
      <c r="G20" s="24">
        <f>IFERROR(INDEX(Rezervasyonlar!$E$2:$E$501,MATCH(INT($B$2+5)*100000+ROUND($A20*1440,0)*10+1,Rezervasyonlar!$N$2:$N$501,0)),"")</f>
        <v/>
      </c>
      <c r="H20" s="24">
        <f>IFERROR(INDEX(Rezervasyonlar!$E$2:$E$501,MATCH(INT($B$2+6)*100000+ROUND($A20*1440,0)*10+1,Rezervasyonlar!$N$2:$N$501,0)),"")</f>
        <v/>
      </c>
    </row>
    <row r="21">
      <c r="A21" s="23">
        <f>INDEX(Saatler,16)</f>
        <v/>
      </c>
      <c r="B21" s="24">
        <f>IFERROR(INDEX(Rezervasyonlar!$E$2:$E$501,MATCH(INT($B$2+0)*100000+ROUND($A21*1440,0)*10+1,Rezervasyonlar!$N$2:$N$501,0)),"")</f>
        <v/>
      </c>
      <c r="C21" s="24">
        <f>IFERROR(INDEX(Rezervasyonlar!$E$2:$E$501,MATCH(INT($B$2+1)*100000+ROUND($A21*1440,0)*10+1,Rezervasyonlar!$N$2:$N$501,0)),"")</f>
        <v/>
      </c>
      <c r="D21" s="24">
        <f>IFERROR(INDEX(Rezervasyonlar!$E$2:$E$501,MATCH(INT($B$2+2)*100000+ROUND($A21*1440,0)*10+1,Rezervasyonlar!$N$2:$N$501,0)),"")</f>
        <v/>
      </c>
      <c r="E21" s="24">
        <f>IFERROR(INDEX(Rezervasyonlar!$E$2:$E$501,MATCH(INT($B$2+3)*100000+ROUND($A21*1440,0)*10+1,Rezervasyonlar!$N$2:$N$501,0)),"")</f>
        <v/>
      </c>
      <c r="F21" s="24">
        <f>IFERROR(INDEX(Rezervasyonlar!$E$2:$E$501,MATCH(INT($B$2+4)*100000+ROUND($A21*1440,0)*10+1,Rezervasyonlar!$N$2:$N$501,0)),"")</f>
        <v/>
      </c>
      <c r="G21" s="24">
        <f>IFERROR(INDEX(Rezervasyonlar!$E$2:$E$501,MATCH(INT($B$2+5)*100000+ROUND($A21*1440,0)*10+1,Rezervasyonlar!$N$2:$N$501,0)),"")</f>
        <v/>
      </c>
      <c r="H21" s="24">
        <f>IFERROR(INDEX(Rezervasyonlar!$E$2:$E$501,MATCH(INT($B$2+6)*100000+ROUND($A21*1440,0)*10+1,Rezervasyonlar!$N$2:$N$501,0)),"")</f>
        <v/>
      </c>
    </row>
    <row r="22">
      <c r="A22" s="23">
        <f>INDEX(Saatler,17)</f>
        <v/>
      </c>
      <c r="B22" s="24">
        <f>IFERROR(INDEX(Rezervasyonlar!$E$2:$E$501,MATCH(INT($B$2+0)*100000+ROUND($A22*1440,0)*10+1,Rezervasyonlar!$N$2:$N$501,0)),"")</f>
        <v/>
      </c>
      <c r="C22" s="24">
        <f>IFERROR(INDEX(Rezervasyonlar!$E$2:$E$501,MATCH(INT($B$2+1)*100000+ROUND($A22*1440,0)*10+1,Rezervasyonlar!$N$2:$N$501,0)),"")</f>
        <v/>
      </c>
      <c r="D22" s="24">
        <f>IFERROR(INDEX(Rezervasyonlar!$E$2:$E$501,MATCH(INT($B$2+2)*100000+ROUND($A22*1440,0)*10+1,Rezervasyonlar!$N$2:$N$501,0)),"")</f>
        <v/>
      </c>
      <c r="E22" s="24">
        <f>IFERROR(INDEX(Rezervasyonlar!$E$2:$E$501,MATCH(INT($B$2+3)*100000+ROUND($A22*1440,0)*10+1,Rezervasyonlar!$N$2:$N$501,0)),"")</f>
        <v/>
      </c>
      <c r="F22" s="24">
        <f>IFERROR(INDEX(Rezervasyonlar!$E$2:$E$501,MATCH(INT($B$2+4)*100000+ROUND($A22*1440,0)*10+1,Rezervasyonlar!$N$2:$N$501,0)),"")</f>
        <v/>
      </c>
      <c r="G22" s="24">
        <f>IFERROR(INDEX(Rezervasyonlar!$E$2:$E$501,MATCH(INT($B$2+5)*100000+ROUND($A22*1440,0)*10+1,Rezervasyonlar!$N$2:$N$501,0)),"")</f>
        <v/>
      </c>
      <c r="H22" s="24">
        <f>IFERROR(INDEX(Rezervasyonlar!$E$2:$E$501,MATCH(INT($B$2+6)*100000+ROUND($A22*1440,0)*10+1,Rezervasyonlar!$N$2:$N$501,0)),"")</f>
        <v/>
      </c>
    </row>
    <row r="23">
      <c r="A23" s="25" t="inlineStr">
        <is>
          <t>Doluluk</t>
        </is>
      </c>
      <c r="B23" s="26">
        <f>IF(INDEX(Sahalar,1)="","",COUNTIFS(Rezervasyonlar!$N$2:$N$501,"&gt;="&amp;(INT($B$2+0)*100000),Rezervasyonlar!$N$2:$N$501,"&lt;"&amp;(INT($B$2+0+1)*100000),Rezervasyonlar!$D$2:$D$501,INDEX(Sahalar,1))/17)</f>
        <v/>
      </c>
      <c r="C23" s="26">
        <f>IF(INDEX(Sahalar,1)="","",COUNTIFS(Rezervasyonlar!$N$2:$N$501,"&gt;="&amp;(INT($B$2+1)*100000),Rezervasyonlar!$N$2:$N$501,"&lt;"&amp;(INT($B$2+1+1)*100000),Rezervasyonlar!$D$2:$D$501,INDEX(Sahalar,1))/17)</f>
        <v/>
      </c>
      <c r="D23" s="26">
        <f>IF(INDEX(Sahalar,1)="","",COUNTIFS(Rezervasyonlar!$N$2:$N$501,"&gt;="&amp;(INT($B$2+2)*100000),Rezervasyonlar!$N$2:$N$501,"&lt;"&amp;(INT($B$2+2+1)*100000),Rezervasyonlar!$D$2:$D$501,INDEX(Sahalar,1))/17)</f>
        <v/>
      </c>
      <c r="E23" s="26">
        <f>IF(INDEX(Sahalar,1)="","",COUNTIFS(Rezervasyonlar!$N$2:$N$501,"&gt;="&amp;(INT($B$2+3)*100000),Rezervasyonlar!$N$2:$N$501,"&lt;"&amp;(INT($B$2+3+1)*100000),Rezervasyonlar!$D$2:$D$501,INDEX(Sahalar,1))/17)</f>
        <v/>
      </c>
      <c r="F23" s="26">
        <f>IF(INDEX(Sahalar,1)="","",COUNTIFS(Rezervasyonlar!$N$2:$N$501,"&gt;="&amp;(INT($B$2+4)*100000),Rezervasyonlar!$N$2:$N$501,"&lt;"&amp;(INT($B$2+4+1)*100000),Rezervasyonlar!$D$2:$D$501,INDEX(Sahalar,1))/17)</f>
        <v/>
      </c>
      <c r="G23" s="26">
        <f>IF(INDEX(Sahalar,1)="","",COUNTIFS(Rezervasyonlar!$N$2:$N$501,"&gt;="&amp;(INT($B$2+5)*100000),Rezervasyonlar!$N$2:$N$501,"&lt;"&amp;(INT($B$2+5+1)*100000),Rezervasyonlar!$D$2:$D$501,INDEX(Sahalar,1))/17)</f>
        <v/>
      </c>
      <c r="H23" s="26">
        <f>IF(INDEX(Sahalar,1)="","",COUNTIFS(Rezervasyonlar!$N$2:$N$501,"&gt;="&amp;(INT($B$2+6)*100000),Rezervasyonlar!$N$2:$N$501,"&lt;"&amp;(INT($B$2+6+1)*100000),Rezervasyonlar!$D$2:$D$501,INDEX(Sahalar,1))/17)</f>
        <v/>
      </c>
    </row>
    <row r="25">
      <c r="A25" s="3">
        <f>IF(INDEX(Sahalar,2)="","Saha 2 (Ayarlar'da boş — kullanılmıyor)",INDEX(Sahalar,2))</f>
        <v/>
      </c>
    </row>
    <row r="26">
      <c r="A26" s="15" t="inlineStr">
        <is>
          <t>Saat</t>
        </is>
      </c>
      <c r="B26" s="15">
        <f>"Pzt "&amp;DAY($B$2+0)&amp;"."&amp;MONTH($B$2+0)</f>
        <v/>
      </c>
      <c r="C26" s="15">
        <f>"Sal "&amp;DAY($B$2+1)&amp;"."&amp;MONTH($B$2+1)</f>
        <v/>
      </c>
      <c r="D26" s="15">
        <f>"Çar "&amp;DAY($B$2+2)&amp;"."&amp;MONTH($B$2+2)</f>
        <v/>
      </c>
      <c r="E26" s="15">
        <f>"Per "&amp;DAY($B$2+3)&amp;"."&amp;MONTH($B$2+3)</f>
        <v/>
      </c>
      <c r="F26" s="15">
        <f>"Cum "&amp;DAY($B$2+4)&amp;"."&amp;MONTH($B$2+4)</f>
        <v/>
      </c>
      <c r="G26" s="15">
        <f>"Cmt "&amp;DAY($B$2+5)&amp;"."&amp;MONTH($B$2+5)</f>
        <v/>
      </c>
      <c r="H26" s="15">
        <f>"Paz "&amp;DAY($B$2+6)&amp;"."&amp;MONTH($B$2+6)</f>
        <v/>
      </c>
    </row>
    <row r="27">
      <c r="A27" s="23">
        <f>INDEX(Saatler,1)</f>
        <v/>
      </c>
      <c r="B27" s="24">
        <f>IFERROR(INDEX(Rezervasyonlar!$E$2:$E$501,MATCH(INT($B$2+0)*100000+ROUND($A27*1440,0)*10+2,Rezervasyonlar!$N$2:$N$501,0)),"")</f>
        <v/>
      </c>
      <c r="C27" s="24">
        <f>IFERROR(INDEX(Rezervasyonlar!$E$2:$E$501,MATCH(INT($B$2+1)*100000+ROUND($A27*1440,0)*10+2,Rezervasyonlar!$N$2:$N$501,0)),"")</f>
        <v/>
      </c>
      <c r="D27" s="24">
        <f>IFERROR(INDEX(Rezervasyonlar!$E$2:$E$501,MATCH(INT($B$2+2)*100000+ROUND($A27*1440,0)*10+2,Rezervasyonlar!$N$2:$N$501,0)),"")</f>
        <v/>
      </c>
      <c r="E27" s="24">
        <f>IFERROR(INDEX(Rezervasyonlar!$E$2:$E$501,MATCH(INT($B$2+3)*100000+ROUND($A27*1440,0)*10+2,Rezervasyonlar!$N$2:$N$501,0)),"")</f>
        <v/>
      </c>
      <c r="F27" s="24">
        <f>IFERROR(INDEX(Rezervasyonlar!$E$2:$E$501,MATCH(INT($B$2+4)*100000+ROUND($A27*1440,0)*10+2,Rezervasyonlar!$N$2:$N$501,0)),"")</f>
        <v/>
      </c>
      <c r="G27" s="24">
        <f>IFERROR(INDEX(Rezervasyonlar!$E$2:$E$501,MATCH(INT($B$2+5)*100000+ROUND($A27*1440,0)*10+2,Rezervasyonlar!$N$2:$N$501,0)),"")</f>
        <v/>
      </c>
      <c r="H27" s="24">
        <f>IFERROR(INDEX(Rezervasyonlar!$E$2:$E$501,MATCH(INT($B$2+6)*100000+ROUND($A27*1440,0)*10+2,Rezervasyonlar!$N$2:$N$501,0)),"")</f>
        <v/>
      </c>
    </row>
    <row r="28">
      <c r="A28" s="23">
        <f>INDEX(Saatler,2)</f>
        <v/>
      </c>
      <c r="B28" s="24">
        <f>IFERROR(INDEX(Rezervasyonlar!$E$2:$E$501,MATCH(INT($B$2+0)*100000+ROUND($A28*1440,0)*10+2,Rezervasyonlar!$N$2:$N$501,0)),"")</f>
        <v/>
      </c>
      <c r="C28" s="24">
        <f>IFERROR(INDEX(Rezervasyonlar!$E$2:$E$501,MATCH(INT($B$2+1)*100000+ROUND($A28*1440,0)*10+2,Rezervasyonlar!$N$2:$N$501,0)),"")</f>
        <v/>
      </c>
      <c r="D28" s="24">
        <f>IFERROR(INDEX(Rezervasyonlar!$E$2:$E$501,MATCH(INT($B$2+2)*100000+ROUND($A28*1440,0)*10+2,Rezervasyonlar!$N$2:$N$501,0)),"")</f>
        <v/>
      </c>
      <c r="E28" s="24">
        <f>IFERROR(INDEX(Rezervasyonlar!$E$2:$E$501,MATCH(INT($B$2+3)*100000+ROUND($A28*1440,0)*10+2,Rezervasyonlar!$N$2:$N$501,0)),"")</f>
        <v/>
      </c>
      <c r="F28" s="24">
        <f>IFERROR(INDEX(Rezervasyonlar!$E$2:$E$501,MATCH(INT($B$2+4)*100000+ROUND($A28*1440,0)*10+2,Rezervasyonlar!$N$2:$N$501,0)),"")</f>
        <v/>
      </c>
      <c r="G28" s="24">
        <f>IFERROR(INDEX(Rezervasyonlar!$E$2:$E$501,MATCH(INT($B$2+5)*100000+ROUND($A28*1440,0)*10+2,Rezervasyonlar!$N$2:$N$501,0)),"")</f>
        <v/>
      </c>
      <c r="H28" s="24">
        <f>IFERROR(INDEX(Rezervasyonlar!$E$2:$E$501,MATCH(INT($B$2+6)*100000+ROUND($A28*1440,0)*10+2,Rezervasyonlar!$N$2:$N$501,0)),"")</f>
        <v/>
      </c>
    </row>
    <row r="29">
      <c r="A29" s="23">
        <f>INDEX(Saatler,3)</f>
        <v/>
      </c>
      <c r="B29" s="24">
        <f>IFERROR(INDEX(Rezervasyonlar!$E$2:$E$501,MATCH(INT($B$2+0)*100000+ROUND($A29*1440,0)*10+2,Rezervasyonlar!$N$2:$N$501,0)),"")</f>
        <v/>
      </c>
      <c r="C29" s="24">
        <f>IFERROR(INDEX(Rezervasyonlar!$E$2:$E$501,MATCH(INT($B$2+1)*100000+ROUND($A29*1440,0)*10+2,Rezervasyonlar!$N$2:$N$501,0)),"")</f>
        <v/>
      </c>
      <c r="D29" s="24">
        <f>IFERROR(INDEX(Rezervasyonlar!$E$2:$E$501,MATCH(INT($B$2+2)*100000+ROUND($A29*1440,0)*10+2,Rezervasyonlar!$N$2:$N$501,0)),"")</f>
        <v/>
      </c>
      <c r="E29" s="24">
        <f>IFERROR(INDEX(Rezervasyonlar!$E$2:$E$501,MATCH(INT($B$2+3)*100000+ROUND($A29*1440,0)*10+2,Rezervasyonlar!$N$2:$N$501,0)),"")</f>
        <v/>
      </c>
      <c r="F29" s="24">
        <f>IFERROR(INDEX(Rezervasyonlar!$E$2:$E$501,MATCH(INT($B$2+4)*100000+ROUND($A29*1440,0)*10+2,Rezervasyonlar!$N$2:$N$501,0)),"")</f>
        <v/>
      </c>
      <c r="G29" s="24">
        <f>IFERROR(INDEX(Rezervasyonlar!$E$2:$E$501,MATCH(INT($B$2+5)*100000+ROUND($A29*1440,0)*10+2,Rezervasyonlar!$N$2:$N$501,0)),"")</f>
        <v/>
      </c>
      <c r="H29" s="24">
        <f>IFERROR(INDEX(Rezervasyonlar!$E$2:$E$501,MATCH(INT($B$2+6)*100000+ROUND($A29*1440,0)*10+2,Rezervasyonlar!$N$2:$N$501,0)),"")</f>
        <v/>
      </c>
    </row>
    <row r="30">
      <c r="A30" s="23">
        <f>INDEX(Saatler,4)</f>
        <v/>
      </c>
      <c r="B30" s="24">
        <f>IFERROR(INDEX(Rezervasyonlar!$E$2:$E$501,MATCH(INT($B$2+0)*100000+ROUND($A30*1440,0)*10+2,Rezervasyonlar!$N$2:$N$501,0)),"")</f>
        <v/>
      </c>
      <c r="C30" s="24">
        <f>IFERROR(INDEX(Rezervasyonlar!$E$2:$E$501,MATCH(INT($B$2+1)*100000+ROUND($A30*1440,0)*10+2,Rezervasyonlar!$N$2:$N$501,0)),"")</f>
        <v/>
      </c>
      <c r="D30" s="24">
        <f>IFERROR(INDEX(Rezervasyonlar!$E$2:$E$501,MATCH(INT($B$2+2)*100000+ROUND($A30*1440,0)*10+2,Rezervasyonlar!$N$2:$N$501,0)),"")</f>
        <v/>
      </c>
      <c r="E30" s="24">
        <f>IFERROR(INDEX(Rezervasyonlar!$E$2:$E$501,MATCH(INT($B$2+3)*100000+ROUND($A30*1440,0)*10+2,Rezervasyonlar!$N$2:$N$501,0)),"")</f>
        <v/>
      </c>
      <c r="F30" s="24">
        <f>IFERROR(INDEX(Rezervasyonlar!$E$2:$E$501,MATCH(INT($B$2+4)*100000+ROUND($A30*1440,0)*10+2,Rezervasyonlar!$N$2:$N$501,0)),"")</f>
        <v/>
      </c>
      <c r="G30" s="24">
        <f>IFERROR(INDEX(Rezervasyonlar!$E$2:$E$501,MATCH(INT($B$2+5)*100000+ROUND($A30*1440,0)*10+2,Rezervasyonlar!$N$2:$N$501,0)),"")</f>
        <v/>
      </c>
      <c r="H30" s="24">
        <f>IFERROR(INDEX(Rezervasyonlar!$E$2:$E$501,MATCH(INT($B$2+6)*100000+ROUND($A30*1440,0)*10+2,Rezervasyonlar!$N$2:$N$501,0)),"")</f>
        <v/>
      </c>
    </row>
    <row r="31">
      <c r="A31" s="23">
        <f>INDEX(Saatler,5)</f>
        <v/>
      </c>
      <c r="B31" s="24">
        <f>IFERROR(INDEX(Rezervasyonlar!$E$2:$E$501,MATCH(INT($B$2+0)*100000+ROUND($A31*1440,0)*10+2,Rezervasyonlar!$N$2:$N$501,0)),"")</f>
        <v/>
      </c>
      <c r="C31" s="24">
        <f>IFERROR(INDEX(Rezervasyonlar!$E$2:$E$501,MATCH(INT($B$2+1)*100000+ROUND($A31*1440,0)*10+2,Rezervasyonlar!$N$2:$N$501,0)),"")</f>
        <v/>
      </c>
      <c r="D31" s="24">
        <f>IFERROR(INDEX(Rezervasyonlar!$E$2:$E$501,MATCH(INT($B$2+2)*100000+ROUND($A31*1440,0)*10+2,Rezervasyonlar!$N$2:$N$501,0)),"")</f>
        <v/>
      </c>
      <c r="E31" s="24">
        <f>IFERROR(INDEX(Rezervasyonlar!$E$2:$E$501,MATCH(INT($B$2+3)*100000+ROUND($A31*1440,0)*10+2,Rezervasyonlar!$N$2:$N$501,0)),"")</f>
        <v/>
      </c>
      <c r="F31" s="24">
        <f>IFERROR(INDEX(Rezervasyonlar!$E$2:$E$501,MATCH(INT($B$2+4)*100000+ROUND($A31*1440,0)*10+2,Rezervasyonlar!$N$2:$N$501,0)),"")</f>
        <v/>
      </c>
      <c r="G31" s="24">
        <f>IFERROR(INDEX(Rezervasyonlar!$E$2:$E$501,MATCH(INT($B$2+5)*100000+ROUND($A31*1440,0)*10+2,Rezervasyonlar!$N$2:$N$501,0)),"")</f>
        <v/>
      </c>
      <c r="H31" s="24">
        <f>IFERROR(INDEX(Rezervasyonlar!$E$2:$E$501,MATCH(INT($B$2+6)*100000+ROUND($A31*1440,0)*10+2,Rezervasyonlar!$N$2:$N$501,0)),"")</f>
        <v/>
      </c>
    </row>
    <row r="32">
      <c r="A32" s="23">
        <f>INDEX(Saatler,6)</f>
        <v/>
      </c>
      <c r="B32" s="24">
        <f>IFERROR(INDEX(Rezervasyonlar!$E$2:$E$501,MATCH(INT($B$2+0)*100000+ROUND($A32*1440,0)*10+2,Rezervasyonlar!$N$2:$N$501,0)),"")</f>
        <v/>
      </c>
      <c r="C32" s="24">
        <f>IFERROR(INDEX(Rezervasyonlar!$E$2:$E$501,MATCH(INT($B$2+1)*100000+ROUND($A32*1440,0)*10+2,Rezervasyonlar!$N$2:$N$501,0)),"")</f>
        <v/>
      </c>
      <c r="D32" s="24">
        <f>IFERROR(INDEX(Rezervasyonlar!$E$2:$E$501,MATCH(INT($B$2+2)*100000+ROUND($A32*1440,0)*10+2,Rezervasyonlar!$N$2:$N$501,0)),"")</f>
        <v/>
      </c>
      <c r="E32" s="24">
        <f>IFERROR(INDEX(Rezervasyonlar!$E$2:$E$501,MATCH(INT($B$2+3)*100000+ROUND($A32*1440,0)*10+2,Rezervasyonlar!$N$2:$N$501,0)),"")</f>
        <v/>
      </c>
      <c r="F32" s="24">
        <f>IFERROR(INDEX(Rezervasyonlar!$E$2:$E$501,MATCH(INT($B$2+4)*100000+ROUND($A32*1440,0)*10+2,Rezervasyonlar!$N$2:$N$501,0)),"")</f>
        <v/>
      </c>
      <c r="G32" s="24">
        <f>IFERROR(INDEX(Rezervasyonlar!$E$2:$E$501,MATCH(INT($B$2+5)*100000+ROUND($A32*1440,0)*10+2,Rezervasyonlar!$N$2:$N$501,0)),"")</f>
        <v/>
      </c>
      <c r="H32" s="24">
        <f>IFERROR(INDEX(Rezervasyonlar!$E$2:$E$501,MATCH(INT($B$2+6)*100000+ROUND($A32*1440,0)*10+2,Rezervasyonlar!$N$2:$N$501,0)),"")</f>
        <v/>
      </c>
    </row>
    <row r="33">
      <c r="A33" s="23">
        <f>INDEX(Saatler,7)</f>
        <v/>
      </c>
      <c r="B33" s="24">
        <f>IFERROR(INDEX(Rezervasyonlar!$E$2:$E$501,MATCH(INT($B$2+0)*100000+ROUND($A33*1440,0)*10+2,Rezervasyonlar!$N$2:$N$501,0)),"")</f>
        <v/>
      </c>
      <c r="C33" s="24">
        <f>IFERROR(INDEX(Rezervasyonlar!$E$2:$E$501,MATCH(INT($B$2+1)*100000+ROUND($A33*1440,0)*10+2,Rezervasyonlar!$N$2:$N$501,0)),"")</f>
        <v/>
      </c>
      <c r="D33" s="24">
        <f>IFERROR(INDEX(Rezervasyonlar!$E$2:$E$501,MATCH(INT($B$2+2)*100000+ROUND($A33*1440,0)*10+2,Rezervasyonlar!$N$2:$N$501,0)),"")</f>
        <v/>
      </c>
      <c r="E33" s="24">
        <f>IFERROR(INDEX(Rezervasyonlar!$E$2:$E$501,MATCH(INT($B$2+3)*100000+ROUND($A33*1440,0)*10+2,Rezervasyonlar!$N$2:$N$501,0)),"")</f>
        <v/>
      </c>
      <c r="F33" s="24">
        <f>IFERROR(INDEX(Rezervasyonlar!$E$2:$E$501,MATCH(INT($B$2+4)*100000+ROUND($A33*1440,0)*10+2,Rezervasyonlar!$N$2:$N$501,0)),"")</f>
        <v/>
      </c>
      <c r="G33" s="24">
        <f>IFERROR(INDEX(Rezervasyonlar!$E$2:$E$501,MATCH(INT($B$2+5)*100000+ROUND($A33*1440,0)*10+2,Rezervasyonlar!$N$2:$N$501,0)),"")</f>
        <v/>
      </c>
      <c r="H33" s="24">
        <f>IFERROR(INDEX(Rezervasyonlar!$E$2:$E$501,MATCH(INT($B$2+6)*100000+ROUND($A33*1440,0)*10+2,Rezervasyonlar!$N$2:$N$501,0)),"")</f>
        <v/>
      </c>
    </row>
    <row r="34">
      <c r="A34" s="23">
        <f>INDEX(Saatler,8)</f>
        <v/>
      </c>
      <c r="B34" s="24">
        <f>IFERROR(INDEX(Rezervasyonlar!$E$2:$E$501,MATCH(INT($B$2+0)*100000+ROUND($A34*1440,0)*10+2,Rezervasyonlar!$N$2:$N$501,0)),"")</f>
        <v/>
      </c>
      <c r="C34" s="24">
        <f>IFERROR(INDEX(Rezervasyonlar!$E$2:$E$501,MATCH(INT($B$2+1)*100000+ROUND($A34*1440,0)*10+2,Rezervasyonlar!$N$2:$N$501,0)),"")</f>
        <v/>
      </c>
      <c r="D34" s="24">
        <f>IFERROR(INDEX(Rezervasyonlar!$E$2:$E$501,MATCH(INT($B$2+2)*100000+ROUND($A34*1440,0)*10+2,Rezervasyonlar!$N$2:$N$501,0)),"")</f>
        <v/>
      </c>
      <c r="E34" s="24">
        <f>IFERROR(INDEX(Rezervasyonlar!$E$2:$E$501,MATCH(INT($B$2+3)*100000+ROUND($A34*1440,0)*10+2,Rezervasyonlar!$N$2:$N$501,0)),"")</f>
        <v/>
      </c>
      <c r="F34" s="24">
        <f>IFERROR(INDEX(Rezervasyonlar!$E$2:$E$501,MATCH(INT($B$2+4)*100000+ROUND($A34*1440,0)*10+2,Rezervasyonlar!$N$2:$N$501,0)),"")</f>
        <v/>
      </c>
      <c r="G34" s="24">
        <f>IFERROR(INDEX(Rezervasyonlar!$E$2:$E$501,MATCH(INT($B$2+5)*100000+ROUND($A34*1440,0)*10+2,Rezervasyonlar!$N$2:$N$501,0)),"")</f>
        <v/>
      </c>
      <c r="H34" s="24">
        <f>IFERROR(INDEX(Rezervasyonlar!$E$2:$E$501,MATCH(INT($B$2+6)*100000+ROUND($A34*1440,0)*10+2,Rezervasyonlar!$N$2:$N$501,0)),"")</f>
        <v/>
      </c>
    </row>
    <row r="35">
      <c r="A35" s="23">
        <f>INDEX(Saatler,9)</f>
        <v/>
      </c>
      <c r="B35" s="24">
        <f>IFERROR(INDEX(Rezervasyonlar!$E$2:$E$501,MATCH(INT($B$2+0)*100000+ROUND($A35*1440,0)*10+2,Rezervasyonlar!$N$2:$N$501,0)),"")</f>
        <v/>
      </c>
      <c r="C35" s="24">
        <f>IFERROR(INDEX(Rezervasyonlar!$E$2:$E$501,MATCH(INT($B$2+1)*100000+ROUND($A35*1440,0)*10+2,Rezervasyonlar!$N$2:$N$501,0)),"")</f>
        <v/>
      </c>
      <c r="D35" s="24">
        <f>IFERROR(INDEX(Rezervasyonlar!$E$2:$E$501,MATCH(INT($B$2+2)*100000+ROUND($A35*1440,0)*10+2,Rezervasyonlar!$N$2:$N$501,0)),"")</f>
        <v/>
      </c>
      <c r="E35" s="24">
        <f>IFERROR(INDEX(Rezervasyonlar!$E$2:$E$501,MATCH(INT($B$2+3)*100000+ROUND($A35*1440,0)*10+2,Rezervasyonlar!$N$2:$N$501,0)),"")</f>
        <v/>
      </c>
      <c r="F35" s="24">
        <f>IFERROR(INDEX(Rezervasyonlar!$E$2:$E$501,MATCH(INT($B$2+4)*100000+ROUND($A35*1440,0)*10+2,Rezervasyonlar!$N$2:$N$501,0)),"")</f>
        <v/>
      </c>
      <c r="G35" s="24">
        <f>IFERROR(INDEX(Rezervasyonlar!$E$2:$E$501,MATCH(INT($B$2+5)*100000+ROUND($A35*1440,0)*10+2,Rezervasyonlar!$N$2:$N$501,0)),"")</f>
        <v/>
      </c>
      <c r="H35" s="24">
        <f>IFERROR(INDEX(Rezervasyonlar!$E$2:$E$501,MATCH(INT($B$2+6)*100000+ROUND($A35*1440,0)*10+2,Rezervasyonlar!$N$2:$N$501,0)),"")</f>
        <v/>
      </c>
    </row>
    <row r="36">
      <c r="A36" s="23">
        <f>INDEX(Saatler,10)</f>
        <v/>
      </c>
      <c r="B36" s="24">
        <f>IFERROR(INDEX(Rezervasyonlar!$E$2:$E$501,MATCH(INT($B$2+0)*100000+ROUND($A36*1440,0)*10+2,Rezervasyonlar!$N$2:$N$501,0)),"")</f>
        <v/>
      </c>
      <c r="C36" s="24">
        <f>IFERROR(INDEX(Rezervasyonlar!$E$2:$E$501,MATCH(INT($B$2+1)*100000+ROUND($A36*1440,0)*10+2,Rezervasyonlar!$N$2:$N$501,0)),"")</f>
        <v/>
      </c>
      <c r="D36" s="24">
        <f>IFERROR(INDEX(Rezervasyonlar!$E$2:$E$501,MATCH(INT($B$2+2)*100000+ROUND($A36*1440,0)*10+2,Rezervasyonlar!$N$2:$N$501,0)),"")</f>
        <v/>
      </c>
      <c r="E36" s="24">
        <f>IFERROR(INDEX(Rezervasyonlar!$E$2:$E$501,MATCH(INT($B$2+3)*100000+ROUND($A36*1440,0)*10+2,Rezervasyonlar!$N$2:$N$501,0)),"")</f>
        <v/>
      </c>
      <c r="F36" s="24">
        <f>IFERROR(INDEX(Rezervasyonlar!$E$2:$E$501,MATCH(INT($B$2+4)*100000+ROUND($A36*1440,0)*10+2,Rezervasyonlar!$N$2:$N$501,0)),"")</f>
        <v/>
      </c>
      <c r="G36" s="24">
        <f>IFERROR(INDEX(Rezervasyonlar!$E$2:$E$501,MATCH(INT($B$2+5)*100000+ROUND($A36*1440,0)*10+2,Rezervasyonlar!$N$2:$N$501,0)),"")</f>
        <v/>
      </c>
      <c r="H36" s="24">
        <f>IFERROR(INDEX(Rezervasyonlar!$E$2:$E$501,MATCH(INT($B$2+6)*100000+ROUND($A36*1440,0)*10+2,Rezervasyonlar!$N$2:$N$501,0)),"")</f>
        <v/>
      </c>
    </row>
    <row r="37">
      <c r="A37" s="23">
        <f>INDEX(Saatler,11)</f>
        <v/>
      </c>
      <c r="B37" s="24">
        <f>IFERROR(INDEX(Rezervasyonlar!$E$2:$E$501,MATCH(INT($B$2+0)*100000+ROUND($A37*1440,0)*10+2,Rezervasyonlar!$N$2:$N$501,0)),"")</f>
        <v/>
      </c>
      <c r="C37" s="24">
        <f>IFERROR(INDEX(Rezervasyonlar!$E$2:$E$501,MATCH(INT($B$2+1)*100000+ROUND($A37*1440,0)*10+2,Rezervasyonlar!$N$2:$N$501,0)),"")</f>
        <v/>
      </c>
      <c r="D37" s="24">
        <f>IFERROR(INDEX(Rezervasyonlar!$E$2:$E$501,MATCH(INT($B$2+2)*100000+ROUND($A37*1440,0)*10+2,Rezervasyonlar!$N$2:$N$501,0)),"")</f>
        <v/>
      </c>
      <c r="E37" s="24">
        <f>IFERROR(INDEX(Rezervasyonlar!$E$2:$E$501,MATCH(INT($B$2+3)*100000+ROUND($A37*1440,0)*10+2,Rezervasyonlar!$N$2:$N$501,0)),"")</f>
        <v/>
      </c>
      <c r="F37" s="24">
        <f>IFERROR(INDEX(Rezervasyonlar!$E$2:$E$501,MATCH(INT($B$2+4)*100000+ROUND($A37*1440,0)*10+2,Rezervasyonlar!$N$2:$N$501,0)),"")</f>
        <v/>
      </c>
      <c r="G37" s="24">
        <f>IFERROR(INDEX(Rezervasyonlar!$E$2:$E$501,MATCH(INT($B$2+5)*100000+ROUND($A37*1440,0)*10+2,Rezervasyonlar!$N$2:$N$501,0)),"")</f>
        <v/>
      </c>
      <c r="H37" s="24">
        <f>IFERROR(INDEX(Rezervasyonlar!$E$2:$E$501,MATCH(INT($B$2+6)*100000+ROUND($A37*1440,0)*10+2,Rezervasyonlar!$N$2:$N$501,0)),"")</f>
        <v/>
      </c>
    </row>
    <row r="38">
      <c r="A38" s="23">
        <f>INDEX(Saatler,12)</f>
        <v/>
      </c>
      <c r="B38" s="24">
        <f>IFERROR(INDEX(Rezervasyonlar!$E$2:$E$501,MATCH(INT($B$2+0)*100000+ROUND($A38*1440,0)*10+2,Rezervasyonlar!$N$2:$N$501,0)),"")</f>
        <v/>
      </c>
      <c r="C38" s="24">
        <f>IFERROR(INDEX(Rezervasyonlar!$E$2:$E$501,MATCH(INT($B$2+1)*100000+ROUND($A38*1440,0)*10+2,Rezervasyonlar!$N$2:$N$501,0)),"")</f>
        <v/>
      </c>
      <c r="D38" s="24">
        <f>IFERROR(INDEX(Rezervasyonlar!$E$2:$E$501,MATCH(INT($B$2+2)*100000+ROUND($A38*1440,0)*10+2,Rezervasyonlar!$N$2:$N$501,0)),"")</f>
        <v/>
      </c>
      <c r="E38" s="24">
        <f>IFERROR(INDEX(Rezervasyonlar!$E$2:$E$501,MATCH(INT($B$2+3)*100000+ROUND($A38*1440,0)*10+2,Rezervasyonlar!$N$2:$N$501,0)),"")</f>
        <v/>
      </c>
      <c r="F38" s="24">
        <f>IFERROR(INDEX(Rezervasyonlar!$E$2:$E$501,MATCH(INT($B$2+4)*100000+ROUND($A38*1440,0)*10+2,Rezervasyonlar!$N$2:$N$501,0)),"")</f>
        <v/>
      </c>
      <c r="G38" s="24">
        <f>IFERROR(INDEX(Rezervasyonlar!$E$2:$E$501,MATCH(INT($B$2+5)*100000+ROUND($A38*1440,0)*10+2,Rezervasyonlar!$N$2:$N$501,0)),"")</f>
        <v/>
      </c>
      <c r="H38" s="24">
        <f>IFERROR(INDEX(Rezervasyonlar!$E$2:$E$501,MATCH(INT($B$2+6)*100000+ROUND($A38*1440,0)*10+2,Rezervasyonlar!$N$2:$N$501,0)),"")</f>
        <v/>
      </c>
    </row>
    <row r="39">
      <c r="A39" s="23">
        <f>INDEX(Saatler,13)</f>
        <v/>
      </c>
      <c r="B39" s="24">
        <f>IFERROR(INDEX(Rezervasyonlar!$E$2:$E$501,MATCH(INT($B$2+0)*100000+ROUND($A39*1440,0)*10+2,Rezervasyonlar!$N$2:$N$501,0)),"")</f>
        <v/>
      </c>
      <c r="C39" s="24">
        <f>IFERROR(INDEX(Rezervasyonlar!$E$2:$E$501,MATCH(INT($B$2+1)*100000+ROUND($A39*1440,0)*10+2,Rezervasyonlar!$N$2:$N$501,0)),"")</f>
        <v/>
      </c>
      <c r="D39" s="24">
        <f>IFERROR(INDEX(Rezervasyonlar!$E$2:$E$501,MATCH(INT($B$2+2)*100000+ROUND($A39*1440,0)*10+2,Rezervasyonlar!$N$2:$N$501,0)),"")</f>
        <v/>
      </c>
      <c r="E39" s="24">
        <f>IFERROR(INDEX(Rezervasyonlar!$E$2:$E$501,MATCH(INT($B$2+3)*100000+ROUND($A39*1440,0)*10+2,Rezervasyonlar!$N$2:$N$501,0)),"")</f>
        <v/>
      </c>
      <c r="F39" s="24">
        <f>IFERROR(INDEX(Rezervasyonlar!$E$2:$E$501,MATCH(INT($B$2+4)*100000+ROUND($A39*1440,0)*10+2,Rezervasyonlar!$N$2:$N$501,0)),"")</f>
        <v/>
      </c>
      <c r="G39" s="24">
        <f>IFERROR(INDEX(Rezervasyonlar!$E$2:$E$501,MATCH(INT($B$2+5)*100000+ROUND($A39*1440,0)*10+2,Rezervasyonlar!$N$2:$N$501,0)),"")</f>
        <v/>
      </c>
      <c r="H39" s="24">
        <f>IFERROR(INDEX(Rezervasyonlar!$E$2:$E$501,MATCH(INT($B$2+6)*100000+ROUND($A39*1440,0)*10+2,Rezervasyonlar!$N$2:$N$501,0)),"")</f>
        <v/>
      </c>
    </row>
    <row r="40">
      <c r="A40" s="23">
        <f>INDEX(Saatler,14)</f>
        <v/>
      </c>
      <c r="B40" s="24">
        <f>IFERROR(INDEX(Rezervasyonlar!$E$2:$E$501,MATCH(INT($B$2+0)*100000+ROUND($A40*1440,0)*10+2,Rezervasyonlar!$N$2:$N$501,0)),"")</f>
        <v/>
      </c>
      <c r="C40" s="24">
        <f>IFERROR(INDEX(Rezervasyonlar!$E$2:$E$501,MATCH(INT($B$2+1)*100000+ROUND($A40*1440,0)*10+2,Rezervasyonlar!$N$2:$N$501,0)),"")</f>
        <v/>
      </c>
      <c r="D40" s="24">
        <f>IFERROR(INDEX(Rezervasyonlar!$E$2:$E$501,MATCH(INT($B$2+2)*100000+ROUND($A40*1440,0)*10+2,Rezervasyonlar!$N$2:$N$501,0)),"")</f>
        <v/>
      </c>
      <c r="E40" s="24">
        <f>IFERROR(INDEX(Rezervasyonlar!$E$2:$E$501,MATCH(INT($B$2+3)*100000+ROUND($A40*1440,0)*10+2,Rezervasyonlar!$N$2:$N$501,0)),"")</f>
        <v/>
      </c>
      <c r="F40" s="24">
        <f>IFERROR(INDEX(Rezervasyonlar!$E$2:$E$501,MATCH(INT($B$2+4)*100000+ROUND($A40*1440,0)*10+2,Rezervasyonlar!$N$2:$N$501,0)),"")</f>
        <v/>
      </c>
      <c r="G40" s="24">
        <f>IFERROR(INDEX(Rezervasyonlar!$E$2:$E$501,MATCH(INT($B$2+5)*100000+ROUND($A40*1440,0)*10+2,Rezervasyonlar!$N$2:$N$501,0)),"")</f>
        <v/>
      </c>
      <c r="H40" s="24">
        <f>IFERROR(INDEX(Rezervasyonlar!$E$2:$E$501,MATCH(INT($B$2+6)*100000+ROUND($A40*1440,0)*10+2,Rezervasyonlar!$N$2:$N$501,0)),"")</f>
        <v/>
      </c>
    </row>
    <row r="41">
      <c r="A41" s="23">
        <f>INDEX(Saatler,15)</f>
        <v/>
      </c>
      <c r="B41" s="24">
        <f>IFERROR(INDEX(Rezervasyonlar!$E$2:$E$501,MATCH(INT($B$2+0)*100000+ROUND($A41*1440,0)*10+2,Rezervasyonlar!$N$2:$N$501,0)),"")</f>
        <v/>
      </c>
      <c r="C41" s="24">
        <f>IFERROR(INDEX(Rezervasyonlar!$E$2:$E$501,MATCH(INT($B$2+1)*100000+ROUND($A41*1440,0)*10+2,Rezervasyonlar!$N$2:$N$501,0)),"")</f>
        <v/>
      </c>
      <c r="D41" s="24">
        <f>IFERROR(INDEX(Rezervasyonlar!$E$2:$E$501,MATCH(INT($B$2+2)*100000+ROUND($A41*1440,0)*10+2,Rezervasyonlar!$N$2:$N$501,0)),"")</f>
        <v/>
      </c>
      <c r="E41" s="24">
        <f>IFERROR(INDEX(Rezervasyonlar!$E$2:$E$501,MATCH(INT($B$2+3)*100000+ROUND($A41*1440,0)*10+2,Rezervasyonlar!$N$2:$N$501,0)),"")</f>
        <v/>
      </c>
      <c r="F41" s="24">
        <f>IFERROR(INDEX(Rezervasyonlar!$E$2:$E$501,MATCH(INT($B$2+4)*100000+ROUND($A41*1440,0)*10+2,Rezervasyonlar!$N$2:$N$501,0)),"")</f>
        <v/>
      </c>
      <c r="G41" s="24">
        <f>IFERROR(INDEX(Rezervasyonlar!$E$2:$E$501,MATCH(INT($B$2+5)*100000+ROUND($A41*1440,0)*10+2,Rezervasyonlar!$N$2:$N$501,0)),"")</f>
        <v/>
      </c>
      <c r="H41" s="24">
        <f>IFERROR(INDEX(Rezervasyonlar!$E$2:$E$501,MATCH(INT($B$2+6)*100000+ROUND($A41*1440,0)*10+2,Rezervasyonlar!$N$2:$N$501,0)),"")</f>
        <v/>
      </c>
    </row>
    <row r="42">
      <c r="A42" s="23">
        <f>INDEX(Saatler,16)</f>
        <v/>
      </c>
      <c r="B42" s="24">
        <f>IFERROR(INDEX(Rezervasyonlar!$E$2:$E$501,MATCH(INT($B$2+0)*100000+ROUND($A42*1440,0)*10+2,Rezervasyonlar!$N$2:$N$501,0)),"")</f>
        <v/>
      </c>
      <c r="C42" s="24">
        <f>IFERROR(INDEX(Rezervasyonlar!$E$2:$E$501,MATCH(INT($B$2+1)*100000+ROUND($A42*1440,0)*10+2,Rezervasyonlar!$N$2:$N$501,0)),"")</f>
        <v/>
      </c>
      <c r="D42" s="24">
        <f>IFERROR(INDEX(Rezervasyonlar!$E$2:$E$501,MATCH(INT($B$2+2)*100000+ROUND($A42*1440,0)*10+2,Rezervasyonlar!$N$2:$N$501,0)),"")</f>
        <v/>
      </c>
      <c r="E42" s="24">
        <f>IFERROR(INDEX(Rezervasyonlar!$E$2:$E$501,MATCH(INT($B$2+3)*100000+ROUND($A42*1440,0)*10+2,Rezervasyonlar!$N$2:$N$501,0)),"")</f>
        <v/>
      </c>
      <c r="F42" s="24">
        <f>IFERROR(INDEX(Rezervasyonlar!$E$2:$E$501,MATCH(INT($B$2+4)*100000+ROUND($A42*1440,0)*10+2,Rezervasyonlar!$N$2:$N$501,0)),"")</f>
        <v/>
      </c>
      <c r="G42" s="24">
        <f>IFERROR(INDEX(Rezervasyonlar!$E$2:$E$501,MATCH(INT($B$2+5)*100000+ROUND($A42*1440,0)*10+2,Rezervasyonlar!$N$2:$N$501,0)),"")</f>
        <v/>
      </c>
      <c r="H42" s="24">
        <f>IFERROR(INDEX(Rezervasyonlar!$E$2:$E$501,MATCH(INT($B$2+6)*100000+ROUND($A42*1440,0)*10+2,Rezervasyonlar!$N$2:$N$501,0)),"")</f>
        <v/>
      </c>
    </row>
    <row r="43">
      <c r="A43" s="23">
        <f>INDEX(Saatler,17)</f>
        <v/>
      </c>
      <c r="B43" s="24">
        <f>IFERROR(INDEX(Rezervasyonlar!$E$2:$E$501,MATCH(INT($B$2+0)*100000+ROUND($A43*1440,0)*10+2,Rezervasyonlar!$N$2:$N$501,0)),"")</f>
        <v/>
      </c>
      <c r="C43" s="24">
        <f>IFERROR(INDEX(Rezervasyonlar!$E$2:$E$501,MATCH(INT($B$2+1)*100000+ROUND($A43*1440,0)*10+2,Rezervasyonlar!$N$2:$N$501,0)),"")</f>
        <v/>
      </c>
      <c r="D43" s="24">
        <f>IFERROR(INDEX(Rezervasyonlar!$E$2:$E$501,MATCH(INT($B$2+2)*100000+ROUND($A43*1440,0)*10+2,Rezervasyonlar!$N$2:$N$501,0)),"")</f>
        <v/>
      </c>
      <c r="E43" s="24">
        <f>IFERROR(INDEX(Rezervasyonlar!$E$2:$E$501,MATCH(INT($B$2+3)*100000+ROUND($A43*1440,0)*10+2,Rezervasyonlar!$N$2:$N$501,0)),"")</f>
        <v/>
      </c>
      <c r="F43" s="24">
        <f>IFERROR(INDEX(Rezervasyonlar!$E$2:$E$501,MATCH(INT($B$2+4)*100000+ROUND($A43*1440,0)*10+2,Rezervasyonlar!$N$2:$N$501,0)),"")</f>
        <v/>
      </c>
      <c r="G43" s="24">
        <f>IFERROR(INDEX(Rezervasyonlar!$E$2:$E$501,MATCH(INT($B$2+5)*100000+ROUND($A43*1440,0)*10+2,Rezervasyonlar!$N$2:$N$501,0)),"")</f>
        <v/>
      </c>
      <c r="H43" s="24">
        <f>IFERROR(INDEX(Rezervasyonlar!$E$2:$E$501,MATCH(INT($B$2+6)*100000+ROUND($A43*1440,0)*10+2,Rezervasyonlar!$N$2:$N$501,0)),"")</f>
        <v/>
      </c>
    </row>
    <row r="44">
      <c r="A44" s="25" t="inlineStr">
        <is>
          <t>Doluluk</t>
        </is>
      </c>
      <c r="B44" s="26">
        <f>IF(INDEX(Sahalar,2)="","",COUNTIFS(Rezervasyonlar!$N$2:$N$501,"&gt;="&amp;(INT($B$2+0)*100000),Rezervasyonlar!$N$2:$N$501,"&lt;"&amp;(INT($B$2+0+1)*100000),Rezervasyonlar!$D$2:$D$501,INDEX(Sahalar,2))/17)</f>
        <v/>
      </c>
      <c r="C44" s="26">
        <f>IF(INDEX(Sahalar,2)="","",COUNTIFS(Rezervasyonlar!$N$2:$N$501,"&gt;="&amp;(INT($B$2+1)*100000),Rezervasyonlar!$N$2:$N$501,"&lt;"&amp;(INT($B$2+1+1)*100000),Rezervasyonlar!$D$2:$D$501,INDEX(Sahalar,2))/17)</f>
        <v/>
      </c>
      <c r="D44" s="26">
        <f>IF(INDEX(Sahalar,2)="","",COUNTIFS(Rezervasyonlar!$N$2:$N$501,"&gt;="&amp;(INT($B$2+2)*100000),Rezervasyonlar!$N$2:$N$501,"&lt;"&amp;(INT($B$2+2+1)*100000),Rezervasyonlar!$D$2:$D$501,INDEX(Sahalar,2))/17)</f>
        <v/>
      </c>
      <c r="E44" s="26">
        <f>IF(INDEX(Sahalar,2)="","",COUNTIFS(Rezervasyonlar!$N$2:$N$501,"&gt;="&amp;(INT($B$2+3)*100000),Rezervasyonlar!$N$2:$N$501,"&lt;"&amp;(INT($B$2+3+1)*100000),Rezervasyonlar!$D$2:$D$501,INDEX(Sahalar,2))/17)</f>
        <v/>
      </c>
      <c r="F44" s="26">
        <f>IF(INDEX(Sahalar,2)="","",COUNTIFS(Rezervasyonlar!$N$2:$N$501,"&gt;="&amp;(INT($B$2+4)*100000),Rezervasyonlar!$N$2:$N$501,"&lt;"&amp;(INT($B$2+4+1)*100000),Rezervasyonlar!$D$2:$D$501,INDEX(Sahalar,2))/17)</f>
        <v/>
      </c>
      <c r="G44" s="26">
        <f>IF(INDEX(Sahalar,2)="","",COUNTIFS(Rezervasyonlar!$N$2:$N$501,"&gt;="&amp;(INT($B$2+5)*100000),Rezervasyonlar!$N$2:$N$501,"&lt;"&amp;(INT($B$2+5+1)*100000),Rezervasyonlar!$D$2:$D$501,INDEX(Sahalar,2))/17)</f>
        <v/>
      </c>
      <c r="H44" s="26">
        <f>IF(INDEX(Sahalar,2)="","",COUNTIFS(Rezervasyonlar!$N$2:$N$501,"&gt;="&amp;(INT($B$2+6)*100000),Rezervasyonlar!$N$2:$N$501,"&lt;"&amp;(INT($B$2+6+1)*100000),Rezervasyonlar!$D$2:$D$501,INDEX(Sahalar,2))/17)</f>
        <v/>
      </c>
    </row>
    <row r="46">
      <c r="A46" s="3">
        <f>IF(INDEX(Sahalar,3)="","Saha 3 (Ayarlar'da boş — kullanılmıyor)",INDEX(Sahalar,3))</f>
        <v/>
      </c>
    </row>
    <row r="47">
      <c r="A47" s="15" t="inlineStr">
        <is>
          <t>Saat</t>
        </is>
      </c>
      <c r="B47" s="15">
        <f>"Pzt "&amp;DAY($B$2+0)&amp;"."&amp;MONTH($B$2+0)</f>
        <v/>
      </c>
      <c r="C47" s="15">
        <f>"Sal "&amp;DAY($B$2+1)&amp;"."&amp;MONTH($B$2+1)</f>
        <v/>
      </c>
      <c r="D47" s="15">
        <f>"Çar "&amp;DAY($B$2+2)&amp;"."&amp;MONTH($B$2+2)</f>
        <v/>
      </c>
      <c r="E47" s="15">
        <f>"Per "&amp;DAY($B$2+3)&amp;"."&amp;MONTH($B$2+3)</f>
        <v/>
      </c>
      <c r="F47" s="15">
        <f>"Cum "&amp;DAY($B$2+4)&amp;"."&amp;MONTH($B$2+4)</f>
        <v/>
      </c>
      <c r="G47" s="15">
        <f>"Cmt "&amp;DAY($B$2+5)&amp;"."&amp;MONTH($B$2+5)</f>
        <v/>
      </c>
      <c r="H47" s="15">
        <f>"Paz "&amp;DAY($B$2+6)&amp;"."&amp;MONTH($B$2+6)</f>
        <v/>
      </c>
    </row>
    <row r="48">
      <c r="A48" s="23">
        <f>INDEX(Saatler,1)</f>
        <v/>
      </c>
      <c r="B48" s="24">
        <f>IFERROR(INDEX(Rezervasyonlar!$E$2:$E$501,MATCH(INT($B$2+0)*100000+ROUND($A48*1440,0)*10+3,Rezervasyonlar!$N$2:$N$501,0)),"")</f>
        <v/>
      </c>
      <c r="C48" s="24">
        <f>IFERROR(INDEX(Rezervasyonlar!$E$2:$E$501,MATCH(INT($B$2+1)*100000+ROUND($A48*1440,0)*10+3,Rezervasyonlar!$N$2:$N$501,0)),"")</f>
        <v/>
      </c>
      <c r="D48" s="24">
        <f>IFERROR(INDEX(Rezervasyonlar!$E$2:$E$501,MATCH(INT($B$2+2)*100000+ROUND($A48*1440,0)*10+3,Rezervasyonlar!$N$2:$N$501,0)),"")</f>
        <v/>
      </c>
      <c r="E48" s="24">
        <f>IFERROR(INDEX(Rezervasyonlar!$E$2:$E$501,MATCH(INT($B$2+3)*100000+ROUND($A48*1440,0)*10+3,Rezervasyonlar!$N$2:$N$501,0)),"")</f>
        <v/>
      </c>
      <c r="F48" s="24">
        <f>IFERROR(INDEX(Rezervasyonlar!$E$2:$E$501,MATCH(INT($B$2+4)*100000+ROUND($A48*1440,0)*10+3,Rezervasyonlar!$N$2:$N$501,0)),"")</f>
        <v/>
      </c>
      <c r="G48" s="24">
        <f>IFERROR(INDEX(Rezervasyonlar!$E$2:$E$501,MATCH(INT($B$2+5)*100000+ROUND($A48*1440,0)*10+3,Rezervasyonlar!$N$2:$N$501,0)),"")</f>
        <v/>
      </c>
      <c r="H48" s="24">
        <f>IFERROR(INDEX(Rezervasyonlar!$E$2:$E$501,MATCH(INT($B$2+6)*100000+ROUND($A48*1440,0)*10+3,Rezervasyonlar!$N$2:$N$501,0)),"")</f>
        <v/>
      </c>
    </row>
    <row r="49">
      <c r="A49" s="23">
        <f>INDEX(Saatler,2)</f>
        <v/>
      </c>
      <c r="B49" s="24">
        <f>IFERROR(INDEX(Rezervasyonlar!$E$2:$E$501,MATCH(INT($B$2+0)*100000+ROUND($A49*1440,0)*10+3,Rezervasyonlar!$N$2:$N$501,0)),"")</f>
        <v/>
      </c>
      <c r="C49" s="24">
        <f>IFERROR(INDEX(Rezervasyonlar!$E$2:$E$501,MATCH(INT($B$2+1)*100000+ROUND($A49*1440,0)*10+3,Rezervasyonlar!$N$2:$N$501,0)),"")</f>
        <v/>
      </c>
      <c r="D49" s="24">
        <f>IFERROR(INDEX(Rezervasyonlar!$E$2:$E$501,MATCH(INT($B$2+2)*100000+ROUND($A49*1440,0)*10+3,Rezervasyonlar!$N$2:$N$501,0)),"")</f>
        <v/>
      </c>
      <c r="E49" s="24">
        <f>IFERROR(INDEX(Rezervasyonlar!$E$2:$E$501,MATCH(INT($B$2+3)*100000+ROUND($A49*1440,0)*10+3,Rezervasyonlar!$N$2:$N$501,0)),"")</f>
        <v/>
      </c>
      <c r="F49" s="24">
        <f>IFERROR(INDEX(Rezervasyonlar!$E$2:$E$501,MATCH(INT($B$2+4)*100000+ROUND($A49*1440,0)*10+3,Rezervasyonlar!$N$2:$N$501,0)),"")</f>
        <v/>
      </c>
      <c r="G49" s="24">
        <f>IFERROR(INDEX(Rezervasyonlar!$E$2:$E$501,MATCH(INT($B$2+5)*100000+ROUND($A49*1440,0)*10+3,Rezervasyonlar!$N$2:$N$501,0)),"")</f>
        <v/>
      </c>
      <c r="H49" s="24">
        <f>IFERROR(INDEX(Rezervasyonlar!$E$2:$E$501,MATCH(INT($B$2+6)*100000+ROUND($A49*1440,0)*10+3,Rezervasyonlar!$N$2:$N$501,0)),"")</f>
        <v/>
      </c>
    </row>
    <row r="50">
      <c r="A50" s="23">
        <f>INDEX(Saatler,3)</f>
        <v/>
      </c>
      <c r="B50" s="24">
        <f>IFERROR(INDEX(Rezervasyonlar!$E$2:$E$501,MATCH(INT($B$2+0)*100000+ROUND($A50*1440,0)*10+3,Rezervasyonlar!$N$2:$N$501,0)),"")</f>
        <v/>
      </c>
      <c r="C50" s="24">
        <f>IFERROR(INDEX(Rezervasyonlar!$E$2:$E$501,MATCH(INT($B$2+1)*100000+ROUND($A50*1440,0)*10+3,Rezervasyonlar!$N$2:$N$501,0)),"")</f>
        <v/>
      </c>
      <c r="D50" s="24">
        <f>IFERROR(INDEX(Rezervasyonlar!$E$2:$E$501,MATCH(INT($B$2+2)*100000+ROUND($A50*1440,0)*10+3,Rezervasyonlar!$N$2:$N$501,0)),"")</f>
        <v/>
      </c>
      <c r="E50" s="24">
        <f>IFERROR(INDEX(Rezervasyonlar!$E$2:$E$501,MATCH(INT($B$2+3)*100000+ROUND($A50*1440,0)*10+3,Rezervasyonlar!$N$2:$N$501,0)),"")</f>
        <v/>
      </c>
      <c r="F50" s="24">
        <f>IFERROR(INDEX(Rezervasyonlar!$E$2:$E$501,MATCH(INT($B$2+4)*100000+ROUND($A50*1440,0)*10+3,Rezervasyonlar!$N$2:$N$501,0)),"")</f>
        <v/>
      </c>
      <c r="G50" s="24">
        <f>IFERROR(INDEX(Rezervasyonlar!$E$2:$E$501,MATCH(INT($B$2+5)*100000+ROUND($A50*1440,0)*10+3,Rezervasyonlar!$N$2:$N$501,0)),"")</f>
        <v/>
      </c>
      <c r="H50" s="24">
        <f>IFERROR(INDEX(Rezervasyonlar!$E$2:$E$501,MATCH(INT($B$2+6)*100000+ROUND($A50*1440,0)*10+3,Rezervasyonlar!$N$2:$N$501,0)),"")</f>
        <v/>
      </c>
    </row>
    <row r="51">
      <c r="A51" s="23">
        <f>INDEX(Saatler,4)</f>
        <v/>
      </c>
      <c r="B51" s="24">
        <f>IFERROR(INDEX(Rezervasyonlar!$E$2:$E$501,MATCH(INT($B$2+0)*100000+ROUND($A51*1440,0)*10+3,Rezervasyonlar!$N$2:$N$501,0)),"")</f>
        <v/>
      </c>
      <c r="C51" s="24">
        <f>IFERROR(INDEX(Rezervasyonlar!$E$2:$E$501,MATCH(INT($B$2+1)*100000+ROUND($A51*1440,0)*10+3,Rezervasyonlar!$N$2:$N$501,0)),"")</f>
        <v/>
      </c>
      <c r="D51" s="24">
        <f>IFERROR(INDEX(Rezervasyonlar!$E$2:$E$501,MATCH(INT($B$2+2)*100000+ROUND($A51*1440,0)*10+3,Rezervasyonlar!$N$2:$N$501,0)),"")</f>
        <v/>
      </c>
      <c r="E51" s="24">
        <f>IFERROR(INDEX(Rezervasyonlar!$E$2:$E$501,MATCH(INT($B$2+3)*100000+ROUND($A51*1440,0)*10+3,Rezervasyonlar!$N$2:$N$501,0)),"")</f>
        <v/>
      </c>
      <c r="F51" s="24">
        <f>IFERROR(INDEX(Rezervasyonlar!$E$2:$E$501,MATCH(INT($B$2+4)*100000+ROUND($A51*1440,0)*10+3,Rezervasyonlar!$N$2:$N$501,0)),"")</f>
        <v/>
      </c>
      <c r="G51" s="24">
        <f>IFERROR(INDEX(Rezervasyonlar!$E$2:$E$501,MATCH(INT($B$2+5)*100000+ROUND($A51*1440,0)*10+3,Rezervasyonlar!$N$2:$N$501,0)),"")</f>
        <v/>
      </c>
      <c r="H51" s="24">
        <f>IFERROR(INDEX(Rezervasyonlar!$E$2:$E$501,MATCH(INT($B$2+6)*100000+ROUND($A51*1440,0)*10+3,Rezervasyonlar!$N$2:$N$501,0)),"")</f>
        <v/>
      </c>
    </row>
    <row r="52">
      <c r="A52" s="23">
        <f>INDEX(Saatler,5)</f>
        <v/>
      </c>
      <c r="B52" s="24">
        <f>IFERROR(INDEX(Rezervasyonlar!$E$2:$E$501,MATCH(INT($B$2+0)*100000+ROUND($A52*1440,0)*10+3,Rezervasyonlar!$N$2:$N$501,0)),"")</f>
        <v/>
      </c>
      <c r="C52" s="24">
        <f>IFERROR(INDEX(Rezervasyonlar!$E$2:$E$501,MATCH(INT($B$2+1)*100000+ROUND($A52*1440,0)*10+3,Rezervasyonlar!$N$2:$N$501,0)),"")</f>
        <v/>
      </c>
      <c r="D52" s="24">
        <f>IFERROR(INDEX(Rezervasyonlar!$E$2:$E$501,MATCH(INT($B$2+2)*100000+ROUND($A52*1440,0)*10+3,Rezervasyonlar!$N$2:$N$501,0)),"")</f>
        <v/>
      </c>
      <c r="E52" s="24">
        <f>IFERROR(INDEX(Rezervasyonlar!$E$2:$E$501,MATCH(INT($B$2+3)*100000+ROUND($A52*1440,0)*10+3,Rezervasyonlar!$N$2:$N$501,0)),"")</f>
        <v/>
      </c>
      <c r="F52" s="24">
        <f>IFERROR(INDEX(Rezervasyonlar!$E$2:$E$501,MATCH(INT($B$2+4)*100000+ROUND($A52*1440,0)*10+3,Rezervasyonlar!$N$2:$N$501,0)),"")</f>
        <v/>
      </c>
      <c r="G52" s="24">
        <f>IFERROR(INDEX(Rezervasyonlar!$E$2:$E$501,MATCH(INT($B$2+5)*100000+ROUND($A52*1440,0)*10+3,Rezervasyonlar!$N$2:$N$501,0)),"")</f>
        <v/>
      </c>
      <c r="H52" s="24">
        <f>IFERROR(INDEX(Rezervasyonlar!$E$2:$E$501,MATCH(INT($B$2+6)*100000+ROUND($A52*1440,0)*10+3,Rezervasyonlar!$N$2:$N$501,0)),"")</f>
        <v/>
      </c>
    </row>
    <row r="53">
      <c r="A53" s="23">
        <f>INDEX(Saatler,6)</f>
        <v/>
      </c>
      <c r="B53" s="24">
        <f>IFERROR(INDEX(Rezervasyonlar!$E$2:$E$501,MATCH(INT($B$2+0)*100000+ROUND($A53*1440,0)*10+3,Rezervasyonlar!$N$2:$N$501,0)),"")</f>
        <v/>
      </c>
      <c r="C53" s="24">
        <f>IFERROR(INDEX(Rezervasyonlar!$E$2:$E$501,MATCH(INT($B$2+1)*100000+ROUND($A53*1440,0)*10+3,Rezervasyonlar!$N$2:$N$501,0)),"")</f>
        <v/>
      </c>
      <c r="D53" s="24">
        <f>IFERROR(INDEX(Rezervasyonlar!$E$2:$E$501,MATCH(INT($B$2+2)*100000+ROUND($A53*1440,0)*10+3,Rezervasyonlar!$N$2:$N$501,0)),"")</f>
        <v/>
      </c>
      <c r="E53" s="24">
        <f>IFERROR(INDEX(Rezervasyonlar!$E$2:$E$501,MATCH(INT($B$2+3)*100000+ROUND($A53*1440,0)*10+3,Rezervasyonlar!$N$2:$N$501,0)),"")</f>
        <v/>
      </c>
      <c r="F53" s="24">
        <f>IFERROR(INDEX(Rezervasyonlar!$E$2:$E$501,MATCH(INT($B$2+4)*100000+ROUND($A53*1440,0)*10+3,Rezervasyonlar!$N$2:$N$501,0)),"")</f>
        <v/>
      </c>
      <c r="G53" s="24">
        <f>IFERROR(INDEX(Rezervasyonlar!$E$2:$E$501,MATCH(INT($B$2+5)*100000+ROUND($A53*1440,0)*10+3,Rezervasyonlar!$N$2:$N$501,0)),"")</f>
        <v/>
      </c>
      <c r="H53" s="24">
        <f>IFERROR(INDEX(Rezervasyonlar!$E$2:$E$501,MATCH(INT($B$2+6)*100000+ROUND($A53*1440,0)*10+3,Rezervasyonlar!$N$2:$N$501,0)),"")</f>
        <v/>
      </c>
    </row>
    <row r="54">
      <c r="A54" s="23">
        <f>INDEX(Saatler,7)</f>
        <v/>
      </c>
      <c r="B54" s="24">
        <f>IFERROR(INDEX(Rezervasyonlar!$E$2:$E$501,MATCH(INT($B$2+0)*100000+ROUND($A54*1440,0)*10+3,Rezervasyonlar!$N$2:$N$501,0)),"")</f>
        <v/>
      </c>
      <c r="C54" s="24">
        <f>IFERROR(INDEX(Rezervasyonlar!$E$2:$E$501,MATCH(INT($B$2+1)*100000+ROUND($A54*1440,0)*10+3,Rezervasyonlar!$N$2:$N$501,0)),"")</f>
        <v/>
      </c>
      <c r="D54" s="24">
        <f>IFERROR(INDEX(Rezervasyonlar!$E$2:$E$501,MATCH(INT($B$2+2)*100000+ROUND($A54*1440,0)*10+3,Rezervasyonlar!$N$2:$N$501,0)),"")</f>
        <v/>
      </c>
      <c r="E54" s="24">
        <f>IFERROR(INDEX(Rezervasyonlar!$E$2:$E$501,MATCH(INT($B$2+3)*100000+ROUND($A54*1440,0)*10+3,Rezervasyonlar!$N$2:$N$501,0)),"")</f>
        <v/>
      </c>
      <c r="F54" s="24">
        <f>IFERROR(INDEX(Rezervasyonlar!$E$2:$E$501,MATCH(INT($B$2+4)*100000+ROUND($A54*1440,0)*10+3,Rezervasyonlar!$N$2:$N$501,0)),"")</f>
        <v/>
      </c>
      <c r="G54" s="24">
        <f>IFERROR(INDEX(Rezervasyonlar!$E$2:$E$501,MATCH(INT($B$2+5)*100000+ROUND($A54*1440,0)*10+3,Rezervasyonlar!$N$2:$N$501,0)),"")</f>
        <v/>
      </c>
      <c r="H54" s="24">
        <f>IFERROR(INDEX(Rezervasyonlar!$E$2:$E$501,MATCH(INT($B$2+6)*100000+ROUND($A54*1440,0)*10+3,Rezervasyonlar!$N$2:$N$501,0)),"")</f>
        <v/>
      </c>
    </row>
    <row r="55">
      <c r="A55" s="23">
        <f>INDEX(Saatler,8)</f>
        <v/>
      </c>
      <c r="B55" s="24">
        <f>IFERROR(INDEX(Rezervasyonlar!$E$2:$E$501,MATCH(INT($B$2+0)*100000+ROUND($A55*1440,0)*10+3,Rezervasyonlar!$N$2:$N$501,0)),"")</f>
        <v/>
      </c>
      <c r="C55" s="24">
        <f>IFERROR(INDEX(Rezervasyonlar!$E$2:$E$501,MATCH(INT($B$2+1)*100000+ROUND($A55*1440,0)*10+3,Rezervasyonlar!$N$2:$N$501,0)),"")</f>
        <v/>
      </c>
      <c r="D55" s="24">
        <f>IFERROR(INDEX(Rezervasyonlar!$E$2:$E$501,MATCH(INT($B$2+2)*100000+ROUND($A55*1440,0)*10+3,Rezervasyonlar!$N$2:$N$501,0)),"")</f>
        <v/>
      </c>
      <c r="E55" s="24">
        <f>IFERROR(INDEX(Rezervasyonlar!$E$2:$E$501,MATCH(INT($B$2+3)*100000+ROUND($A55*1440,0)*10+3,Rezervasyonlar!$N$2:$N$501,0)),"")</f>
        <v/>
      </c>
      <c r="F55" s="24">
        <f>IFERROR(INDEX(Rezervasyonlar!$E$2:$E$501,MATCH(INT($B$2+4)*100000+ROUND($A55*1440,0)*10+3,Rezervasyonlar!$N$2:$N$501,0)),"")</f>
        <v/>
      </c>
      <c r="G55" s="24">
        <f>IFERROR(INDEX(Rezervasyonlar!$E$2:$E$501,MATCH(INT($B$2+5)*100000+ROUND($A55*1440,0)*10+3,Rezervasyonlar!$N$2:$N$501,0)),"")</f>
        <v/>
      </c>
      <c r="H55" s="24">
        <f>IFERROR(INDEX(Rezervasyonlar!$E$2:$E$501,MATCH(INT($B$2+6)*100000+ROUND($A55*1440,0)*10+3,Rezervasyonlar!$N$2:$N$501,0)),"")</f>
        <v/>
      </c>
    </row>
    <row r="56">
      <c r="A56" s="23">
        <f>INDEX(Saatler,9)</f>
        <v/>
      </c>
      <c r="B56" s="24">
        <f>IFERROR(INDEX(Rezervasyonlar!$E$2:$E$501,MATCH(INT($B$2+0)*100000+ROUND($A56*1440,0)*10+3,Rezervasyonlar!$N$2:$N$501,0)),"")</f>
        <v/>
      </c>
      <c r="C56" s="24">
        <f>IFERROR(INDEX(Rezervasyonlar!$E$2:$E$501,MATCH(INT($B$2+1)*100000+ROUND($A56*1440,0)*10+3,Rezervasyonlar!$N$2:$N$501,0)),"")</f>
        <v/>
      </c>
      <c r="D56" s="24">
        <f>IFERROR(INDEX(Rezervasyonlar!$E$2:$E$501,MATCH(INT($B$2+2)*100000+ROUND($A56*1440,0)*10+3,Rezervasyonlar!$N$2:$N$501,0)),"")</f>
        <v/>
      </c>
      <c r="E56" s="24">
        <f>IFERROR(INDEX(Rezervasyonlar!$E$2:$E$501,MATCH(INT($B$2+3)*100000+ROUND($A56*1440,0)*10+3,Rezervasyonlar!$N$2:$N$501,0)),"")</f>
        <v/>
      </c>
      <c r="F56" s="24">
        <f>IFERROR(INDEX(Rezervasyonlar!$E$2:$E$501,MATCH(INT($B$2+4)*100000+ROUND($A56*1440,0)*10+3,Rezervasyonlar!$N$2:$N$501,0)),"")</f>
        <v/>
      </c>
      <c r="G56" s="24">
        <f>IFERROR(INDEX(Rezervasyonlar!$E$2:$E$501,MATCH(INT($B$2+5)*100000+ROUND($A56*1440,0)*10+3,Rezervasyonlar!$N$2:$N$501,0)),"")</f>
        <v/>
      </c>
      <c r="H56" s="24">
        <f>IFERROR(INDEX(Rezervasyonlar!$E$2:$E$501,MATCH(INT($B$2+6)*100000+ROUND($A56*1440,0)*10+3,Rezervasyonlar!$N$2:$N$501,0)),"")</f>
        <v/>
      </c>
    </row>
    <row r="57">
      <c r="A57" s="23">
        <f>INDEX(Saatler,10)</f>
        <v/>
      </c>
      <c r="B57" s="24">
        <f>IFERROR(INDEX(Rezervasyonlar!$E$2:$E$501,MATCH(INT($B$2+0)*100000+ROUND($A57*1440,0)*10+3,Rezervasyonlar!$N$2:$N$501,0)),"")</f>
        <v/>
      </c>
      <c r="C57" s="24">
        <f>IFERROR(INDEX(Rezervasyonlar!$E$2:$E$501,MATCH(INT($B$2+1)*100000+ROUND($A57*1440,0)*10+3,Rezervasyonlar!$N$2:$N$501,0)),"")</f>
        <v/>
      </c>
      <c r="D57" s="24">
        <f>IFERROR(INDEX(Rezervasyonlar!$E$2:$E$501,MATCH(INT($B$2+2)*100000+ROUND($A57*1440,0)*10+3,Rezervasyonlar!$N$2:$N$501,0)),"")</f>
        <v/>
      </c>
      <c r="E57" s="24">
        <f>IFERROR(INDEX(Rezervasyonlar!$E$2:$E$501,MATCH(INT($B$2+3)*100000+ROUND($A57*1440,0)*10+3,Rezervasyonlar!$N$2:$N$501,0)),"")</f>
        <v/>
      </c>
      <c r="F57" s="24">
        <f>IFERROR(INDEX(Rezervasyonlar!$E$2:$E$501,MATCH(INT($B$2+4)*100000+ROUND($A57*1440,0)*10+3,Rezervasyonlar!$N$2:$N$501,0)),"")</f>
        <v/>
      </c>
      <c r="G57" s="24">
        <f>IFERROR(INDEX(Rezervasyonlar!$E$2:$E$501,MATCH(INT($B$2+5)*100000+ROUND($A57*1440,0)*10+3,Rezervasyonlar!$N$2:$N$501,0)),"")</f>
        <v/>
      </c>
      <c r="H57" s="24">
        <f>IFERROR(INDEX(Rezervasyonlar!$E$2:$E$501,MATCH(INT($B$2+6)*100000+ROUND($A57*1440,0)*10+3,Rezervasyonlar!$N$2:$N$501,0)),"")</f>
        <v/>
      </c>
    </row>
    <row r="58">
      <c r="A58" s="23">
        <f>INDEX(Saatler,11)</f>
        <v/>
      </c>
      <c r="B58" s="24">
        <f>IFERROR(INDEX(Rezervasyonlar!$E$2:$E$501,MATCH(INT($B$2+0)*100000+ROUND($A58*1440,0)*10+3,Rezervasyonlar!$N$2:$N$501,0)),"")</f>
        <v/>
      </c>
      <c r="C58" s="24">
        <f>IFERROR(INDEX(Rezervasyonlar!$E$2:$E$501,MATCH(INT($B$2+1)*100000+ROUND($A58*1440,0)*10+3,Rezervasyonlar!$N$2:$N$501,0)),"")</f>
        <v/>
      </c>
      <c r="D58" s="24">
        <f>IFERROR(INDEX(Rezervasyonlar!$E$2:$E$501,MATCH(INT($B$2+2)*100000+ROUND($A58*1440,0)*10+3,Rezervasyonlar!$N$2:$N$501,0)),"")</f>
        <v/>
      </c>
      <c r="E58" s="24">
        <f>IFERROR(INDEX(Rezervasyonlar!$E$2:$E$501,MATCH(INT($B$2+3)*100000+ROUND($A58*1440,0)*10+3,Rezervasyonlar!$N$2:$N$501,0)),"")</f>
        <v/>
      </c>
      <c r="F58" s="24">
        <f>IFERROR(INDEX(Rezervasyonlar!$E$2:$E$501,MATCH(INT($B$2+4)*100000+ROUND($A58*1440,0)*10+3,Rezervasyonlar!$N$2:$N$501,0)),"")</f>
        <v/>
      </c>
      <c r="G58" s="24">
        <f>IFERROR(INDEX(Rezervasyonlar!$E$2:$E$501,MATCH(INT($B$2+5)*100000+ROUND($A58*1440,0)*10+3,Rezervasyonlar!$N$2:$N$501,0)),"")</f>
        <v/>
      </c>
      <c r="H58" s="24">
        <f>IFERROR(INDEX(Rezervasyonlar!$E$2:$E$501,MATCH(INT($B$2+6)*100000+ROUND($A58*1440,0)*10+3,Rezervasyonlar!$N$2:$N$501,0)),"")</f>
        <v/>
      </c>
    </row>
    <row r="59">
      <c r="A59" s="23">
        <f>INDEX(Saatler,12)</f>
        <v/>
      </c>
      <c r="B59" s="24">
        <f>IFERROR(INDEX(Rezervasyonlar!$E$2:$E$501,MATCH(INT($B$2+0)*100000+ROUND($A59*1440,0)*10+3,Rezervasyonlar!$N$2:$N$501,0)),"")</f>
        <v/>
      </c>
      <c r="C59" s="24">
        <f>IFERROR(INDEX(Rezervasyonlar!$E$2:$E$501,MATCH(INT($B$2+1)*100000+ROUND($A59*1440,0)*10+3,Rezervasyonlar!$N$2:$N$501,0)),"")</f>
        <v/>
      </c>
      <c r="D59" s="24">
        <f>IFERROR(INDEX(Rezervasyonlar!$E$2:$E$501,MATCH(INT($B$2+2)*100000+ROUND($A59*1440,0)*10+3,Rezervasyonlar!$N$2:$N$501,0)),"")</f>
        <v/>
      </c>
      <c r="E59" s="24">
        <f>IFERROR(INDEX(Rezervasyonlar!$E$2:$E$501,MATCH(INT($B$2+3)*100000+ROUND($A59*1440,0)*10+3,Rezervasyonlar!$N$2:$N$501,0)),"")</f>
        <v/>
      </c>
      <c r="F59" s="24">
        <f>IFERROR(INDEX(Rezervasyonlar!$E$2:$E$501,MATCH(INT($B$2+4)*100000+ROUND($A59*1440,0)*10+3,Rezervasyonlar!$N$2:$N$501,0)),"")</f>
        <v/>
      </c>
      <c r="G59" s="24">
        <f>IFERROR(INDEX(Rezervasyonlar!$E$2:$E$501,MATCH(INT($B$2+5)*100000+ROUND($A59*1440,0)*10+3,Rezervasyonlar!$N$2:$N$501,0)),"")</f>
        <v/>
      </c>
      <c r="H59" s="24">
        <f>IFERROR(INDEX(Rezervasyonlar!$E$2:$E$501,MATCH(INT($B$2+6)*100000+ROUND($A59*1440,0)*10+3,Rezervasyonlar!$N$2:$N$501,0)),"")</f>
        <v/>
      </c>
    </row>
    <row r="60">
      <c r="A60" s="23">
        <f>INDEX(Saatler,13)</f>
        <v/>
      </c>
      <c r="B60" s="24">
        <f>IFERROR(INDEX(Rezervasyonlar!$E$2:$E$501,MATCH(INT($B$2+0)*100000+ROUND($A60*1440,0)*10+3,Rezervasyonlar!$N$2:$N$501,0)),"")</f>
        <v/>
      </c>
      <c r="C60" s="24">
        <f>IFERROR(INDEX(Rezervasyonlar!$E$2:$E$501,MATCH(INT($B$2+1)*100000+ROUND($A60*1440,0)*10+3,Rezervasyonlar!$N$2:$N$501,0)),"")</f>
        <v/>
      </c>
      <c r="D60" s="24">
        <f>IFERROR(INDEX(Rezervasyonlar!$E$2:$E$501,MATCH(INT($B$2+2)*100000+ROUND($A60*1440,0)*10+3,Rezervasyonlar!$N$2:$N$501,0)),"")</f>
        <v/>
      </c>
      <c r="E60" s="24">
        <f>IFERROR(INDEX(Rezervasyonlar!$E$2:$E$501,MATCH(INT($B$2+3)*100000+ROUND($A60*1440,0)*10+3,Rezervasyonlar!$N$2:$N$501,0)),"")</f>
        <v/>
      </c>
      <c r="F60" s="24">
        <f>IFERROR(INDEX(Rezervasyonlar!$E$2:$E$501,MATCH(INT($B$2+4)*100000+ROUND($A60*1440,0)*10+3,Rezervasyonlar!$N$2:$N$501,0)),"")</f>
        <v/>
      </c>
      <c r="G60" s="24">
        <f>IFERROR(INDEX(Rezervasyonlar!$E$2:$E$501,MATCH(INT($B$2+5)*100000+ROUND($A60*1440,0)*10+3,Rezervasyonlar!$N$2:$N$501,0)),"")</f>
        <v/>
      </c>
      <c r="H60" s="24">
        <f>IFERROR(INDEX(Rezervasyonlar!$E$2:$E$501,MATCH(INT($B$2+6)*100000+ROUND($A60*1440,0)*10+3,Rezervasyonlar!$N$2:$N$501,0)),"")</f>
        <v/>
      </c>
    </row>
    <row r="61">
      <c r="A61" s="23">
        <f>INDEX(Saatler,14)</f>
        <v/>
      </c>
      <c r="B61" s="24">
        <f>IFERROR(INDEX(Rezervasyonlar!$E$2:$E$501,MATCH(INT($B$2+0)*100000+ROUND($A61*1440,0)*10+3,Rezervasyonlar!$N$2:$N$501,0)),"")</f>
        <v/>
      </c>
      <c r="C61" s="24">
        <f>IFERROR(INDEX(Rezervasyonlar!$E$2:$E$501,MATCH(INT($B$2+1)*100000+ROUND($A61*1440,0)*10+3,Rezervasyonlar!$N$2:$N$501,0)),"")</f>
        <v/>
      </c>
      <c r="D61" s="24">
        <f>IFERROR(INDEX(Rezervasyonlar!$E$2:$E$501,MATCH(INT($B$2+2)*100000+ROUND($A61*1440,0)*10+3,Rezervasyonlar!$N$2:$N$501,0)),"")</f>
        <v/>
      </c>
      <c r="E61" s="24">
        <f>IFERROR(INDEX(Rezervasyonlar!$E$2:$E$501,MATCH(INT($B$2+3)*100000+ROUND($A61*1440,0)*10+3,Rezervasyonlar!$N$2:$N$501,0)),"")</f>
        <v/>
      </c>
      <c r="F61" s="24">
        <f>IFERROR(INDEX(Rezervasyonlar!$E$2:$E$501,MATCH(INT($B$2+4)*100000+ROUND($A61*1440,0)*10+3,Rezervasyonlar!$N$2:$N$501,0)),"")</f>
        <v/>
      </c>
      <c r="G61" s="24">
        <f>IFERROR(INDEX(Rezervasyonlar!$E$2:$E$501,MATCH(INT($B$2+5)*100000+ROUND($A61*1440,0)*10+3,Rezervasyonlar!$N$2:$N$501,0)),"")</f>
        <v/>
      </c>
      <c r="H61" s="24">
        <f>IFERROR(INDEX(Rezervasyonlar!$E$2:$E$501,MATCH(INT($B$2+6)*100000+ROUND($A61*1440,0)*10+3,Rezervasyonlar!$N$2:$N$501,0)),"")</f>
        <v/>
      </c>
    </row>
    <row r="62">
      <c r="A62" s="23">
        <f>INDEX(Saatler,15)</f>
        <v/>
      </c>
      <c r="B62" s="24">
        <f>IFERROR(INDEX(Rezervasyonlar!$E$2:$E$501,MATCH(INT($B$2+0)*100000+ROUND($A62*1440,0)*10+3,Rezervasyonlar!$N$2:$N$501,0)),"")</f>
        <v/>
      </c>
      <c r="C62" s="24">
        <f>IFERROR(INDEX(Rezervasyonlar!$E$2:$E$501,MATCH(INT($B$2+1)*100000+ROUND($A62*1440,0)*10+3,Rezervasyonlar!$N$2:$N$501,0)),"")</f>
        <v/>
      </c>
      <c r="D62" s="24">
        <f>IFERROR(INDEX(Rezervasyonlar!$E$2:$E$501,MATCH(INT($B$2+2)*100000+ROUND($A62*1440,0)*10+3,Rezervasyonlar!$N$2:$N$501,0)),"")</f>
        <v/>
      </c>
      <c r="E62" s="24">
        <f>IFERROR(INDEX(Rezervasyonlar!$E$2:$E$501,MATCH(INT($B$2+3)*100000+ROUND($A62*1440,0)*10+3,Rezervasyonlar!$N$2:$N$501,0)),"")</f>
        <v/>
      </c>
      <c r="F62" s="24">
        <f>IFERROR(INDEX(Rezervasyonlar!$E$2:$E$501,MATCH(INT($B$2+4)*100000+ROUND($A62*1440,0)*10+3,Rezervasyonlar!$N$2:$N$501,0)),"")</f>
        <v/>
      </c>
      <c r="G62" s="24">
        <f>IFERROR(INDEX(Rezervasyonlar!$E$2:$E$501,MATCH(INT($B$2+5)*100000+ROUND($A62*1440,0)*10+3,Rezervasyonlar!$N$2:$N$501,0)),"")</f>
        <v/>
      </c>
      <c r="H62" s="24">
        <f>IFERROR(INDEX(Rezervasyonlar!$E$2:$E$501,MATCH(INT($B$2+6)*100000+ROUND($A62*1440,0)*10+3,Rezervasyonlar!$N$2:$N$501,0)),"")</f>
        <v/>
      </c>
    </row>
    <row r="63">
      <c r="A63" s="23">
        <f>INDEX(Saatler,16)</f>
        <v/>
      </c>
      <c r="B63" s="24">
        <f>IFERROR(INDEX(Rezervasyonlar!$E$2:$E$501,MATCH(INT($B$2+0)*100000+ROUND($A63*1440,0)*10+3,Rezervasyonlar!$N$2:$N$501,0)),"")</f>
        <v/>
      </c>
      <c r="C63" s="24">
        <f>IFERROR(INDEX(Rezervasyonlar!$E$2:$E$501,MATCH(INT($B$2+1)*100000+ROUND($A63*1440,0)*10+3,Rezervasyonlar!$N$2:$N$501,0)),"")</f>
        <v/>
      </c>
      <c r="D63" s="24">
        <f>IFERROR(INDEX(Rezervasyonlar!$E$2:$E$501,MATCH(INT($B$2+2)*100000+ROUND($A63*1440,0)*10+3,Rezervasyonlar!$N$2:$N$501,0)),"")</f>
        <v/>
      </c>
      <c r="E63" s="24">
        <f>IFERROR(INDEX(Rezervasyonlar!$E$2:$E$501,MATCH(INT($B$2+3)*100000+ROUND($A63*1440,0)*10+3,Rezervasyonlar!$N$2:$N$501,0)),"")</f>
        <v/>
      </c>
      <c r="F63" s="24">
        <f>IFERROR(INDEX(Rezervasyonlar!$E$2:$E$501,MATCH(INT($B$2+4)*100000+ROUND($A63*1440,0)*10+3,Rezervasyonlar!$N$2:$N$501,0)),"")</f>
        <v/>
      </c>
      <c r="G63" s="24">
        <f>IFERROR(INDEX(Rezervasyonlar!$E$2:$E$501,MATCH(INT($B$2+5)*100000+ROUND($A63*1440,0)*10+3,Rezervasyonlar!$N$2:$N$501,0)),"")</f>
        <v/>
      </c>
      <c r="H63" s="24">
        <f>IFERROR(INDEX(Rezervasyonlar!$E$2:$E$501,MATCH(INT($B$2+6)*100000+ROUND($A63*1440,0)*10+3,Rezervasyonlar!$N$2:$N$501,0)),"")</f>
        <v/>
      </c>
    </row>
    <row r="64">
      <c r="A64" s="23">
        <f>INDEX(Saatler,17)</f>
        <v/>
      </c>
      <c r="B64" s="24">
        <f>IFERROR(INDEX(Rezervasyonlar!$E$2:$E$501,MATCH(INT($B$2+0)*100000+ROUND($A64*1440,0)*10+3,Rezervasyonlar!$N$2:$N$501,0)),"")</f>
        <v/>
      </c>
      <c r="C64" s="24">
        <f>IFERROR(INDEX(Rezervasyonlar!$E$2:$E$501,MATCH(INT($B$2+1)*100000+ROUND($A64*1440,0)*10+3,Rezervasyonlar!$N$2:$N$501,0)),"")</f>
        <v/>
      </c>
      <c r="D64" s="24">
        <f>IFERROR(INDEX(Rezervasyonlar!$E$2:$E$501,MATCH(INT($B$2+2)*100000+ROUND($A64*1440,0)*10+3,Rezervasyonlar!$N$2:$N$501,0)),"")</f>
        <v/>
      </c>
      <c r="E64" s="24">
        <f>IFERROR(INDEX(Rezervasyonlar!$E$2:$E$501,MATCH(INT($B$2+3)*100000+ROUND($A64*1440,0)*10+3,Rezervasyonlar!$N$2:$N$501,0)),"")</f>
        <v/>
      </c>
      <c r="F64" s="24">
        <f>IFERROR(INDEX(Rezervasyonlar!$E$2:$E$501,MATCH(INT($B$2+4)*100000+ROUND($A64*1440,0)*10+3,Rezervasyonlar!$N$2:$N$501,0)),"")</f>
        <v/>
      </c>
      <c r="G64" s="24">
        <f>IFERROR(INDEX(Rezervasyonlar!$E$2:$E$501,MATCH(INT($B$2+5)*100000+ROUND($A64*1440,0)*10+3,Rezervasyonlar!$N$2:$N$501,0)),"")</f>
        <v/>
      </c>
      <c r="H64" s="24">
        <f>IFERROR(INDEX(Rezervasyonlar!$E$2:$E$501,MATCH(INT($B$2+6)*100000+ROUND($A64*1440,0)*10+3,Rezervasyonlar!$N$2:$N$501,0)),"")</f>
        <v/>
      </c>
    </row>
    <row r="65">
      <c r="A65" s="25" t="inlineStr">
        <is>
          <t>Doluluk</t>
        </is>
      </c>
      <c r="B65" s="26">
        <f>IF(INDEX(Sahalar,3)="","",COUNTIFS(Rezervasyonlar!$N$2:$N$501,"&gt;="&amp;(INT($B$2+0)*100000),Rezervasyonlar!$N$2:$N$501,"&lt;"&amp;(INT($B$2+0+1)*100000),Rezervasyonlar!$D$2:$D$501,INDEX(Sahalar,3))/17)</f>
        <v/>
      </c>
      <c r="C65" s="26">
        <f>IF(INDEX(Sahalar,3)="","",COUNTIFS(Rezervasyonlar!$N$2:$N$501,"&gt;="&amp;(INT($B$2+1)*100000),Rezervasyonlar!$N$2:$N$501,"&lt;"&amp;(INT($B$2+1+1)*100000),Rezervasyonlar!$D$2:$D$501,INDEX(Sahalar,3))/17)</f>
        <v/>
      </c>
      <c r="D65" s="26">
        <f>IF(INDEX(Sahalar,3)="","",COUNTIFS(Rezervasyonlar!$N$2:$N$501,"&gt;="&amp;(INT($B$2+2)*100000),Rezervasyonlar!$N$2:$N$501,"&lt;"&amp;(INT($B$2+2+1)*100000),Rezervasyonlar!$D$2:$D$501,INDEX(Sahalar,3))/17)</f>
        <v/>
      </c>
      <c r="E65" s="26">
        <f>IF(INDEX(Sahalar,3)="","",COUNTIFS(Rezervasyonlar!$N$2:$N$501,"&gt;="&amp;(INT($B$2+3)*100000),Rezervasyonlar!$N$2:$N$501,"&lt;"&amp;(INT($B$2+3+1)*100000),Rezervasyonlar!$D$2:$D$501,INDEX(Sahalar,3))/17)</f>
        <v/>
      </c>
      <c r="F65" s="26">
        <f>IF(INDEX(Sahalar,3)="","",COUNTIFS(Rezervasyonlar!$N$2:$N$501,"&gt;="&amp;(INT($B$2+4)*100000),Rezervasyonlar!$N$2:$N$501,"&lt;"&amp;(INT($B$2+4+1)*100000),Rezervasyonlar!$D$2:$D$501,INDEX(Sahalar,3))/17)</f>
        <v/>
      </c>
      <c r="G65" s="26">
        <f>IF(INDEX(Sahalar,3)="","",COUNTIFS(Rezervasyonlar!$N$2:$N$501,"&gt;="&amp;(INT($B$2+5)*100000),Rezervasyonlar!$N$2:$N$501,"&lt;"&amp;(INT($B$2+5+1)*100000),Rezervasyonlar!$D$2:$D$501,INDEX(Sahalar,3))/17)</f>
        <v/>
      </c>
      <c r="H65" s="26">
        <f>IF(INDEX(Sahalar,3)="","",COUNTIFS(Rezervasyonlar!$N$2:$N$501,"&gt;="&amp;(INT($B$2+6)*100000),Rezervasyonlar!$N$2:$N$501,"&lt;"&amp;(INT($B$2+6+1)*100000),Rezervasyonlar!$D$2:$D$501,INDEX(Sahalar,3))/17)</f>
        <v/>
      </c>
    </row>
    <row r="67">
      <c r="A67" s="3">
        <f>IF(INDEX(Sahalar,4)="","Saha 4 (Ayarlar'da boş — kullanılmıyor)",INDEX(Sahalar,4))</f>
        <v/>
      </c>
    </row>
    <row r="68">
      <c r="A68" s="15" t="inlineStr">
        <is>
          <t>Saat</t>
        </is>
      </c>
      <c r="B68" s="15">
        <f>"Pzt "&amp;DAY($B$2+0)&amp;"."&amp;MONTH($B$2+0)</f>
        <v/>
      </c>
      <c r="C68" s="15">
        <f>"Sal "&amp;DAY($B$2+1)&amp;"."&amp;MONTH($B$2+1)</f>
        <v/>
      </c>
      <c r="D68" s="15">
        <f>"Çar "&amp;DAY($B$2+2)&amp;"."&amp;MONTH($B$2+2)</f>
        <v/>
      </c>
      <c r="E68" s="15">
        <f>"Per "&amp;DAY($B$2+3)&amp;"."&amp;MONTH($B$2+3)</f>
        <v/>
      </c>
      <c r="F68" s="15">
        <f>"Cum "&amp;DAY($B$2+4)&amp;"."&amp;MONTH($B$2+4)</f>
        <v/>
      </c>
      <c r="G68" s="15">
        <f>"Cmt "&amp;DAY($B$2+5)&amp;"."&amp;MONTH($B$2+5)</f>
        <v/>
      </c>
      <c r="H68" s="15">
        <f>"Paz "&amp;DAY($B$2+6)&amp;"."&amp;MONTH($B$2+6)</f>
        <v/>
      </c>
    </row>
    <row r="69">
      <c r="A69" s="23">
        <f>INDEX(Saatler,1)</f>
        <v/>
      </c>
      <c r="B69" s="24">
        <f>IFERROR(INDEX(Rezervasyonlar!$E$2:$E$501,MATCH(INT($B$2+0)*100000+ROUND($A69*1440,0)*10+4,Rezervasyonlar!$N$2:$N$501,0)),"")</f>
        <v/>
      </c>
      <c r="C69" s="24">
        <f>IFERROR(INDEX(Rezervasyonlar!$E$2:$E$501,MATCH(INT($B$2+1)*100000+ROUND($A69*1440,0)*10+4,Rezervasyonlar!$N$2:$N$501,0)),"")</f>
        <v/>
      </c>
      <c r="D69" s="24">
        <f>IFERROR(INDEX(Rezervasyonlar!$E$2:$E$501,MATCH(INT($B$2+2)*100000+ROUND($A69*1440,0)*10+4,Rezervasyonlar!$N$2:$N$501,0)),"")</f>
        <v/>
      </c>
      <c r="E69" s="24">
        <f>IFERROR(INDEX(Rezervasyonlar!$E$2:$E$501,MATCH(INT($B$2+3)*100000+ROUND($A69*1440,0)*10+4,Rezervasyonlar!$N$2:$N$501,0)),"")</f>
        <v/>
      </c>
      <c r="F69" s="24">
        <f>IFERROR(INDEX(Rezervasyonlar!$E$2:$E$501,MATCH(INT($B$2+4)*100000+ROUND($A69*1440,0)*10+4,Rezervasyonlar!$N$2:$N$501,0)),"")</f>
        <v/>
      </c>
      <c r="G69" s="24">
        <f>IFERROR(INDEX(Rezervasyonlar!$E$2:$E$501,MATCH(INT($B$2+5)*100000+ROUND($A69*1440,0)*10+4,Rezervasyonlar!$N$2:$N$501,0)),"")</f>
        <v/>
      </c>
      <c r="H69" s="24">
        <f>IFERROR(INDEX(Rezervasyonlar!$E$2:$E$501,MATCH(INT($B$2+6)*100000+ROUND($A69*1440,0)*10+4,Rezervasyonlar!$N$2:$N$501,0)),"")</f>
        <v/>
      </c>
    </row>
    <row r="70">
      <c r="A70" s="23">
        <f>INDEX(Saatler,2)</f>
        <v/>
      </c>
      <c r="B70" s="24">
        <f>IFERROR(INDEX(Rezervasyonlar!$E$2:$E$501,MATCH(INT($B$2+0)*100000+ROUND($A70*1440,0)*10+4,Rezervasyonlar!$N$2:$N$501,0)),"")</f>
        <v/>
      </c>
      <c r="C70" s="24">
        <f>IFERROR(INDEX(Rezervasyonlar!$E$2:$E$501,MATCH(INT($B$2+1)*100000+ROUND($A70*1440,0)*10+4,Rezervasyonlar!$N$2:$N$501,0)),"")</f>
        <v/>
      </c>
      <c r="D70" s="24">
        <f>IFERROR(INDEX(Rezervasyonlar!$E$2:$E$501,MATCH(INT($B$2+2)*100000+ROUND($A70*1440,0)*10+4,Rezervasyonlar!$N$2:$N$501,0)),"")</f>
        <v/>
      </c>
      <c r="E70" s="24">
        <f>IFERROR(INDEX(Rezervasyonlar!$E$2:$E$501,MATCH(INT($B$2+3)*100000+ROUND($A70*1440,0)*10+4,Rezervasyonlar!$N$2:$N$501,0)),"")</f>
        <v/>
      </c>
      <c r="F70" s="24">
        <f>IFERROR(INDEX(Rezervasyonlar!$E$2:$E$501,MATCH(INT($B$2+4)*100000+ROUND($A70*1440,0)*10+4,Rezervasyonlar!$N$2:$N$501,0)),"")</f>
        <v/>
      </c>
      <c r="G70" s="24">
        <f>IFERROR(INDEX(Rezervasyonlar!$E$2:$E$501,MATCH(INT($B$2+5)*100000+ROUND($A70*1440,0)*10+4,Rezervasyonlar!$N$2:$N$501,0)),"")</f>
        <v/>
      </c>
      <c r="H70" s="24">
        <f>IFERROR(INDEX(Rezervasyonlar!$E$2:$E$501,MATCH(INT($B$2+6)*100000+ROUND($A70*1440,0)*10+4,Rezervasyonlar!$N$2:$N$501,0)),"")</f>
        <v/>
      </c>
    </row>
    <row r="71">
      <c r="A71" s="23">
        <f>INDEX(Saatler,3)</f>
        <v/>
      </c>
      <c r="B71" s="24">
        <f>IFERROR(INDEX(Rezervasyonlar!$E$2:$E$501,MATCH(INT($B$2+0)*100000+ROUND($A71*1440,0)*10+4,Rezervasyonlar!$N$2:$N$501,0)),"")</f>
        <v/>
      </c>
      <c r="C71" s="24">
        <f>IFERROR(INDEX(Rezervasyonlar!$E$2:$E$501,MATCH(INT($B$2+1)*100000+ROUND($A71*1440,0)*10+4,Rezervasyonlar!$N$2:$N$501,0)),"")</f>
        <v/>
      </c>
      <c r="D71" s="24">
        <f>IFERROR(INDEX(Rezervasyonlar!$E$2:$E$501,MATCH(INT($B$2+2)*100000+ROUND($A71*1440,0)*10+4,Rezervasyonlar!$N$2:$N$501,0)),"")</f>
        <v/>
      </c>
      <c r="E71" s="24">
        <f>IFERROR(INDEX(Rezervasyonlar!$E$2:$E$501,MATCH(INT($B$2+3)*100000+ROUND($A71*1440,0)*10+4,Rezervasyonlar!$N$2:$N$501,0)),"")</f>
        <v/>
      </c>
      <c r="F71" s="24">
        <f>IFERROR(INDEX(Rezervasyonlar!$E$2:$E$501,MATCH(INT($B$2+4)*100000+ROUND($A71*1440,0)*10+4,Rezervasyonlar!$N$2:$N$501,0)),"")</f>
        <v/>
      </c>
      <c r="G71" s="24">
        <f>IFERROR(INDEX(Rezervasyonlar!$E$2:$E$501,MATCH(INT($B$2+5)*100000+ROUND($A71*1440,0)*10+4,Rezervasyonlar!$N$2:$N$501,0)),"")</f>
        <v/>
      </c>
      <c r="H71" s="24">
        <f>IFERROR(INDEX(Rezervasyonlar!$E$2:$E$501,MATCH(INT($B$2+6)*100000+ROUND($A71*1440,0)*10+4,Rezervasyonlar!$N$2:$N$501,0)),"")</f>
        <v/>
      </c>
    </row>
    <row r="72">
      <c r="A72" s="23">
        <f>INDEX(Saatler,4)</f>
        <v/>
      </c>
      <c r="B72" s="24">
        <f>IFERROR(INDEX(Rezervasyonlar!$E$2:$E$501,MATCH(INT($B$2+0)*100000+ROUND($A72*1440,0)*10+4,Rezervasyonlar!$N$2:$N$501,0)),"")</f>
        <v/>
      </c>
      <c r="C72" s="24">
        <f>IFERROR(INDEX(Rezervasyonlar!$E$2:$E$501,MATCH(INT($B$2+1)*100000+ROUND($A72*1440,0)*10+4,Rezervasyonlar!$N$2:$N$501,0)),"")</f>
        <v/>
      </c>
      <c r="D72" s="24">
        <f>IFERROR(INDEX(Rezervasyonlar!$E$2:$E$501,MATCH(INT($B$2+2)*100000+ROUND($A72*1440,0)*10+4,Rezervasyonlar!$N$2:$N$501,0)),"")</f>
        <v/>
      </c>
      <c r="E72" s="24">
        <f>IFERROR(INDEX(Rezervasyonlar!$E$2:$E$501,MATCH(INT($B$2+3)*100000+ROUND($A72*1440,0)*10+4,Rezervasyonlar!$N$2:$N$501,0)),"")</f>
        <v/>
      </c>
      <c r="F72" s="24">
        <f>IFERROR(INDEX(Rezervasyonlar!$E$2:$E$501,MATCH(INT($B$2+4)*100000+ROUND($A72*1440,0)*10+4,Rezervasyonlar!$N$2:$N$501,0)),"")</f>
        <v/>
      </c>
      <c r="G72" s="24">
        <f>IFERROR(INDEX(Rezervasyonlar!$E$2:$E$501,MATCH(INT($B$2+5)*100000+ROUND($A72*1440,0)*10+4,Rezervasyonlar!$N$2:$N$501,0)),"")</f>
        <v/>
      </c>
      <c r="H72" s="24">
        <f>IFERROR(INDEX(Rezervasyonlar!$E$2:$E$501,MATCH(INT($B$2+6)*100000+ROUND($A72*1440,0)*10+4,Rezervasyonlar!$N$2:$N$501,0)),"")</f>
        <v/>
      </c>
    </row>
    <row r="73">
      <c r="A73" s="23">
        <f>INDEX(Saatler,5)</f>
        <v/>
      </c>
      <c r="B73" s="24">
        <f>IFERROR(INDEX(Rezervasyonlar!$E$2:$E$501,MATCH(INT($B$2+0)*100000+ROUND($A73*1440,0)*10+4,Rezervasyonlar!$N$2:$N$501,0)),"")</f>
        <v/>
      </c>
      <c r="C73" s="24">
        <f>IFERROR(INDEX(Rezervasyonlar!$E$2:$E$501,MATCH(INT($B$2+1)*100000+ROUND($A73*1440,0)*10+4,Rezervasyonlar!$N$2:$N$501,0)),"")</f>
        <v/>
      </c>
      <c r="D73" s="24">
        <f>IFERROR(INDEX(Rezervasyonlar!$E$2:$E$501,MATCH(INT($B$2+2)*100000+ROUND($A73*1440,0)*10+4,Rezervasyonlar!$N$2:$N$501,0)),"")</f>
        <v/>
      </c>
      <c r="E73" s="24">
        <f>IFERROR(INDEX(Rezervasyonlar!$E$2:$E$501,MATCH(INT($B$2+3)*100000+ROUND($A73*1440,0)*10+4,Rezervasyonlar!$N$2:$N$501,0)),"")</f>
        <v/>
      </c>
      <c r="F73" s="24">
        <f>IFERROR(INDEX(Rezervasyonlar!$E$2:$E$501,MATCH(INT($B$2+4)*100000+ROUND($A73*1440,0)*10+4,Rezervasyonlar!$N$2:$N$501,0)),"")</f>
        <v/>
      </c>
      <c r="G73" s="24">
        <f>IFERROR(INDEX(Rezervasyonlar!$E$2:$E$501,MATCH(INT($B$2+5)*100000+ROUND($A73*1440,0)*10+4,Rezervasyonlar!$N$2:$N$501,0)),"")</f>
        <v/>
      </c>
      <c r="H73" s="24">
        <f>IFERROR(INDEX(Rezervasyonlar!$E$2:$E$501,MATCH(INT($B$2+6)*100000+ROUND($A73*1440,0)*10+4,Rezervasyonlar!$N$2:$N$501,0)),"")</f>
        <v/>
      </c>
    </row>
    <row r="74">
      <c r="A74" s="23">
        <f>INDEX(Saatler,6)</f>
        <v/>
      </c>
      <c r="B74" s="24">
        <f>IFERROR(INDEX(Rezervasyonlar!$E$2:$E$501,MATCH(INT($B$2+0)*100000+ROUND($A74*1440,0)*10+4,Rezervasyonlar!$N$2:$N$501,0)),"")</f>
        <v/>
      </c>
      <c r="C74" s="24">
        <f>IFERROR(INDEX(Rezervasyonlar!$E$2:$E$501,MATCH(INT($B$2+1)*100000+ROUND($A74*1440,0)*10+4,Rezervasyonlar!$N$2:$N$501,0)),"")</f>
        <v/>
      </c>
      <c r="D74" s="24">
        <f>IFERROR(INDEX(Rezervasyonlar!$E$2:$E$501,MATCH(INT($B$2+2)*100000+ROUND($A74*1440,0)*10+4,Rezervasyonlar!$N$2:$N$501,0)),"")</f>
        <v/>
      </c>
      <c r="E74" s="24">
        <f>IFERROR(INDEX(Rezervasyonlar!$E$2:$E$501,MATCH(INT($B$2+3)*100000+ROUND($A74*1440,0)*10+4,Rezervasyonlar!$N$2:$N$501,0)),"")</f>
        <v/>
      </c>
      <c r="F74" s="24">
        <f>IFERROR(INDEX(Rezervasyonlar!$E$2:$E$501,MATCH(INT($B$2+4)*100000+ROUND($A74*1440,0)*10+4,Rezervasyonlar!$N$2:$N$501,0)),"")</f>
        <v/>
      </c>
      <c r="G74" s="24">
        <f>IFERROR(INDEX(Rezervasyonlar!$E$2:$E$501,MATCH(INT($B$2+5)*100000+ROUND($A74*1440,0)*10+4,Rezervasyonlar!$N$2:$N$501,0)),"")</f>
        <v/>
      </c>
      <c r="H74" s="24">
        <f>IFERROR(INDEX(Rezervasyonlar!$E$2:$E$501,MATCH(INT($B$2+6)*100000+ROUND($A74*1440,0)*10+4,Rezervasyonlar!$N$2:$N$501,0)),"")</f>
        <v/>
      </c>
    </row>
    <row r="75">
      <c r="A75" s="23">
        <f>INDEX(Saatler,7)</f>
        <v/>
      </c>
      <c r="B75" s="24">
        <f>IFERROR(INDEX(Rezervasyonlar!$E$2:$E$501,MATCH(INT($B$2+0)*100000+ROUND($A75*1440,0)*10+4,Rezervasyonlar!$N$2:$N$501,0)),"")</f>
        <v/>
      </c>
      <c r="C75" s="24">
        <f>IFERROR(INDEX(Rezervasyonlar!$E$2:$E$501,MATCH(INT($B$2+1)*100000+ROUND($A75*1440,0)*10+4,Rezervasyonlar!$N$2:$N$501,0)),"")</f>
        <v/>
      </c>
      <c r="D75" s="24">
        <f>IFERROR(INDEX(Rezervasyonlar!$E$2:$E$501,MATCH(INT($B$2+2)*100000+ROUND($A75*1440,0)*10+4,Rezervasyonlar!$N$2:$N$501,0)),"")</f>
        <v/>
      </c>
      <c r="E75" s="24">
        <f>IFERROR(INDEX(Rezervasyonlar!$E$2:$E$501,MATCH(INT($B$2+3)*100000+ROUND($A75*1440,0)*10+4,Rezervasyonlar!$N$2:$N$501,0)),"")</f>
        <v/>
      </c>
      <c r="F75" s="24">
        <f>IFERROR(INDEX(Rezervasyonlar!$E$2:$E$501,MATCH(INT($B$2+4)*100000+ROUND($A75*1440,0)*10+4,Rezervasyonlar!$N$2:$N$501,0)),"")</f>
        <v/>
      </c>
      <c r="G75" s="24">
        <f>IFERROR(INDEX(Rezervasyonlar!$E$2:$E$501,MATCH(INT($B$2+5)*100000+ROUND($A75*1440,0)*10+4,Rezervasyonlar!$N$2:$N$501,0)),"")</f>
        <v/>
      </c>
      <c r="H75" s="24">
        <f>IFERROR(INDEX(Rezervasyonlar!$E$2:$E$501,MATCH(INT($B$2+6)*100000+ROUND($A75*1440,0)*10+4,Rezervasyonlar!$N$2:$N$501,0)),"")</f>
        <v/>
      </c>
    </row>
    <row r="76">
      <c r="A76" s="23">
        <f>INDEX(Saatler,8)</f>
        <v/>
      </c>
      <c r="B76" s="24">
        <f>IFERROR(INDEX(Rezervasyonlar!$E$2:$E$501,MATCH(INT($B$2+0)*100000+ROUND($A76*1440,0)*10+4,Rezervasyonlar!$N$2:$N$501,0)),"")</f>
        <v/>
      </c>
      <c r="C76" s="24">
        <f>IFERROR(INDEX(Rezervasyonlar!$E$2:$E$501,MATCH(INT($B$2+1)*100000+ROUND($A76*1440,0)*10+4,Rezervasyonlar!$N$2:$N$501,0)),"")</f>
        <v/>
      </c>
      <c r="D76" s="24">
        <f>IFERROR(INDEX(Rezervasyonlar!$E$2:$E$501,MATCH(INT($B$2+2)*100000+ROUND($A76*1440,0)*10+4,Rezervasyonlar!$N$2:$N$501,0)),"")</f>
        <v/>
      </c>
      <c r="E76" s="24">
        <f>IFERROR(INDEX(Rezervasyonlar!$E$2:$E$501,MATCH(INT($B$2+3)*100000+ROUND($A76*1440,0)*10+4,Rezervasyonlar!$N$2:$N$501,0)),"")</f>
        <v/>
      </c>
      <c r="F76" s="24">
        <f>IFERROR(INDEX(Rezervasyonlar!$E$2:$E$501,MATCH(INT($B$2+4)*100000+ROUND($A76*1440,0)*10+4,Rezervasyonlar!$N$2:$N$501,0)),"")</f>
        <v/>
      </c>
      <c r="G76" s="24">
        <f>IFERROR(INDEX(Rezervasyonlar!$E$2:$E$501,MATCH(INT($B$2+5)*100000+ROUND($A76*1440,0)*10+4,Rezervasyonlar!$N$2:$N$501,0)),"")</f>
        <v/>
      </c>
      <c r="H76" s="24">
        <f>IFERROR(INDEX(Rezervasyonlar!$E$2:$E$501,MATCH(INT($B$2+6)*100000+ROUND($A76*1440,0)*10+4,Rezervasyonlar!$N$2:$N$501,0)),"")</f>
        <v/>
      </c>
    </row>
    <row r="77">
      <c r="A77" s="23">
        <f>INDEX(Saatler,9)</f>
        <v/>
      </c>
      <c r="B77" s="24">
        <f>IFERROR(INDEX(Rezervasyonlar!$E$2:$E$501,MATCH(INT($B$2+0)*100000+ROUND($A77*1440,0)*10+4,Rezervasyonlar!$N$2:$N$501,0)),"")</f>
        <v/>
      </c>
      <c r="C77" s="24">
        <f>IFERROR(INDEX(Rezervasyonlar!$E$2:$E$501,MATCH(INT($B$2+1)*100000+ROUND($A77*1440,0)*10+4,Rezervasyonlar!$N$2:$N$501,0)),"")</f>
        <v/>
      </c>
      <c r="D77" s="24">
        <f>IFERROR(INDEX(Rezervasyonlar!$E$2:$E$501,MATCH(INT($B$2+2)*100000+ROUND($A77*1440,0)*10+4,Rezervasyonlar!$N$2:$N$501,0)),"")</f>
        <v/>
      </c>
      <c r="E77" s="24">
        <f>IFERROR(INDEX(Rezervasyonlar!$E$2:$E$501,MATCH(INT($B$2+3)*100000+ROUND($A77*1440,0)*10+4,Rezervasyonlar!$N$2:$N$501,0)),"")</f>
        <v/>
      </c>
      <c r="F77" s="24">
        <f>IFERROR(INDEX(Rezervasyonlar!$E$2:$E$501,MATCH(INT($B$2+4)*100000+ROUND($A77*1440,0)*10+4,Rezervasyonlar!$N$2:$N$501,0)),"")</f>
        <v/>
      </c>
      <c r="G77" s="24">
        <f>IFERROR(INDEX(Rezervasyonlar!$E$2:$E$501,MATCH(INT($B$2+5)*100000+ROUND($A77*1440,0)*10+4,Rezervasyonlar!$N$2:$N$501,0)),"")</f>
        <v/>
      </c>
      <c r="H77" s="24">
        <f>IFERROR(INDEX(Rezervasyonlar!$E$2:$E$501,MATCH(INT($B$2+6)*100000+ROUND($A77*1440,0)*10+4,Rezervasyonlar!$N$2:$N$501,0)),"")</f>
        <v/>
      </c>
    </row>
    <row r="78">
      <c r="A78" s="23">
        <f>INDEX(Saatler,10)</f>
        <v/>
      </c>
      <c r="B78" s="24">
        <f>IFERROR(INDEX(Rezervasyonlar!$E$2:$E$501,MATCH(INT($B$2+0)*100000+ROUND($A78*1440,0)*10+4,Rezervasyonlar!$N$2:$N$501,0)),"")</f>
        <v/>
      </c>
      <c r="C78" s="24">
        <f>IFERROR(INDEX(Rezervasyonlar!$E$2:$E$501,MATCH(INT($B$2+1)*100000+ROUND($A78*1440,0)*10+4,Rezervasyonlar!$N$2:$N$501,0)),"")</f>
        <v/>
      </c>
      <c r="D78" s="24">
        <f>IFERROR(INDEX(Rezervasyonlar!$E$2:$E$501,MATCH(INT($B$2+2)*100000+ROUND($A78*1440,0)*10+4,Rezervasyonlar!$N$2:$N$501,0)),"")</f>
        <v/>
      </c>
      <c r="E78" s="24">
        <f>IFERROR(INDEX(Rezervasyonlar!$E$2:$E$501,MATCH(INT($B$2+3)*100000+ROUND($A78*1440,0)*10+4,Rezervasyonlar!$N$2:$N$501,0)),"")</f>
        <v/>
      </c>
      <c r="F78" s="24">
        <f>IFERROR(INDEX(Rezervasyonlar!$E$2:$E$501,MATCH(INT($B$2+4)*100000+ROUND($A78*1440,0)*10+4,Rezervasyonlar!$N$2:$N$501,0)),"")</f>
        <v/>
      </c>
      <c r="G78" s="24">
        <f>IFERROR(INDEX(Rezervasyonlar!$E$2:$E$501,MATCH(INT($B$2+5)*100000+ROUND($A78*1440,0)*10+4,Rezervasyonlar!$N$2:$N$501,0)),"")</f>
        <v/>
      </c>
      <c r="H78" s="24">
        <f>IFERROR(INDEX(Rezervasyonlar!$E$2:$E$501,MATCH(INT($B$2+6)*100000+ROUND($A78*1440,0)*10+4,Rezervasyonlar!$N$2:$N$501,0)),"")</f>
        <v/>
      </c>
    </row>
    <row r="79">
      <c r="A79" s="23">
        <f>INDEX(Saatler,11)</f>
        <v/>
      </c>
      <c r="B79" s="24">
        <f>IFERROR(INDEX(Rezervasyonlar!$E$2:$E$501,MATCH(INT($B$2+0)*100000+ROUND($A79*1440,0)*10+4,Rezervasyonlar!$N$2:$N$501,0)),"")</f>
        <v/>
      </c>
      <c r="C79" s="24">
        <f>IFERROR(INDEX(Rezervasyonlar!$E$2:$E$501,MATCH(INT($B$2+1)*100000+ROUND($A79*1440,0)*10+4,Rezervasyonlar!$N$2:$N$501,0)),"")</f>
        <v/>
      </c>
      <c r="D79" s="24">
        <f>IFERROR(INDEX(Rezervasyonlar!$E$2:$E$501,MATCH(INT($B$2+2)*100000+ROUND($A79*1440,0)*10+4,Rezervasyonlar!$N$2:$N$501,0)),"")</f>
        <v/>
      </c>
      <c r="E79" s="24">
        <f>IFERROR(INDEX(Rezervasyonlar!$E$2:$E$501,MATCH(INT($B$2+3)*100000+ROUND($A79*1440,0)*10+4,Rezervasyonlar!$N$2:$N$501,0)),"")</f>
        <v/>
      </c>
      <c r="F79" s="24">
        <f>IFERROR(INDEX(Rezervasyonlar!$E$2:$E$501,MATCH(INT($B$2+4)*100000+ROUND($A79*1440,0)*10+4,Rezervasyonlar!$N$2:$N$501,0)),"")</f>
        <v/>
      </c>
      <c r="G79" s="24">
        <f>IFERROR(INDEX(Rezervasyonlar!$E$2:$E$501,MATCH(INT($B$2+5)*100000+ROUND($A79*1440,0)*10+4,Rezervasyonlar!$N$2:$N$501,0)),"")</f>
        <v/>
      </c>
      <c r="H79" s="24">
        <f>IFERROR(INDEX(Rezervasyonlar!$E$2:$E$501,MATCH(INT($B$2+6)*100000+ROUND($A79*1440,0)*10+4,Rezervasyonlar!$N$2:$N$501,0)),"")</f>
        <v/>
      </c>
    </row>
    <row r="80">
      <c r="A80" s="23">
        <f>INDEX(Saatler,12)</f>
        <v/>
      </c>
      <c r="B80" s="24">
        <f>IFERROR(INDEX(Rezervasyonlar!$E$2:$E$501,MATCH(INT($B$2+0)*100000+ROUND($A80*1440,0)*10+4,Rezervasyonlar!$N$2:$N$501,0)),"")</f>
        <v/>
      </c>
      <c r="C80" s="24">
        <f>IFERROR(INDEX(Rezervasyonlar!$E$2:$E$501,MATCH(INT($B$2+1)*100000+ROUND($A80*1440,0)*10+4,Rezervasyonlar!$N$2:$N$501,0)),"")</f>
        <v/>
      </c>
      <c r="D80" s="24">
        <f>IFERROR(INDEX(Rezervasyonlar!$E$2:$E$501,MATCH(INT($B$2+2)*100000+ROUND($A80*1440,0)*10+4,Rezervasyonlar!$N$2:$N$501,0)),"")</f>
        <v/>
      </c>
      <c r="E80" s="24">
        <f>IFERROR(INDEX(Rezervasyonlar!$E$2:$E$501,MATCH(INT($B$2+3)*100000+ROUND($A80*1440,0)*10+4,Rezervasyonlar!$N$2:$N$501,0)),"")</f>
        <v/>
      </c>
      <c r="F80" s="24">
        <f>IFERROR(INDEX(Rezervasyonlar!$E$2:$E$501,MATCH(INT($B$2+4)*100000+ROUND($A80*1440,0)*10+4,Rezervasyonlar!$N$2:$N$501,0)),"")</f>
        <v/>
      </c>
      <c r="G80" s="24">
        <f>IFERROR(INDEX(Rezervasyonlar!$E$2:$E$501,MATCH(INT($B$2+5)*100000+ROUND($A80*1440,0)*10+4,Rezervasyonlar!$N$2:$N$501,0)),"")</f>
        <v/>
      </c>
      <c r="H80" s="24">
        <f>IFERROR(INDEX(Rezervasyonlar!$E$2:$E$501,MATCH(INT($B$2+6)*100000+ROUND($A80*1440,0)*10+4,Rezervasyonlar!$N$2:$N$501,0)),"")</f>
        <v/>
      </c>
    </row>
    <row r="81">
      <c r="A81" s="23">
        <f>INDEX(Saatler,13)</f>
        <v/>
      </c>
      <c r="B81" s="24">
        <f>IFERROR(INDEX(Rezervasyonlar!$E$2:$E$501,MATCH(INT($B$2+0)*100000+ROUND($A81*1440,0)*10+4,Rezervasyonlar!$N$2:$N$501,0)),"")</f>
        <v/>
      </c>
      <c r="C81" s="24">
        <f>IFERROR(INDEX(Rezervasyonlar!$E$2:$E$501,MATCH(INT($B$2+1)*100000+ROUND($A81*1440,0)*10+4,Rezervasyonlar!$N$2:$N$501,0)),"")</f>
        <v/>
      </c>
      <c r="D81" s="24">
        <f>IFERROR(INDEX(Rezervasyonlar!$E$2:$E$501,MATCH(INT($B$2+2)*100000+ROUND($A81*1440,0)*10+4,Rezervasyonlar!$N$2:$N$501,0)),"")</f>
        <v/>
      </c>
      <c r="E81" s="24">
        <f>IFERROR(INDEX(Rezervasyonlar!$E$2:$E$501,MATCH(INT($B$2+3)*100000+ROUND($A81*1440,0)*10+4,Rezervasyonlar!$N$2:$N$501,0)),"")</f>
        <v/>
      </c>
      <c r="F81" s="24">
        <f>IFERROR(INDEX(Rezervasyonlar!$E$2:$E$501,MATCH(INT($B$2+4)*100000+ROUND($A81*1440,0)*10+4,Rezervasyonlar!$N$2:$N$501,0)),"")</f>
        <v/>
      </c>
      <c r="G81" s="24">
        <f>IFERROR(INDEX(Rezervasyonlar!$E$2:$E$501,MATCH(INT($B$2+5)*100000+ROUND($A81*1440,0)*10+4,Rezervasyonlar!$N$2:$N$501,0)),"")</f>
        <v/>
      </c>
      <c r="H81" s="24">
        <f>IFERROR(INDEX(Rezervasyonlar!$E$2:$E$501,MATCH(INT($B$2+6)*100000+ROUND($A81*1440,0)*10+4,Rezervasyonlar!$N$2:$N$501,0)),"")</f>
        <v/>
      </c>
    </row>
    <row r="82">
      <c r="A82" s="23">
        <f>INDEX(Saatler,14)</f>
        <v/>
      </c>
      <c r="B82" s="24">
        <f>IFERROR(INDEX(Rezervasyonlar!$E$2:$E$501,MATCH(INT($B$2+0)*100000+ROUND($A82*1440,0)*10+4,Rezervasyonlar!$N$2:$N$501,0)),"")</f>
        <v/>
      </c>
      <c r="C82" s="24">
        <f>IFERROR(INDEX(Rezervasyonlar!$E$2:$E$501,MATCH(INT($B$2+1)*100000+ROUND($A82*1440,0)*10+4,Rezervasyonlar!$N$2:$N$501,0)),"")</f>
        <v/>
      </c>
      <c r="D82" s="24">
        <f>IFERROR(INDEX(Rezervasyonlar!$E$2:$E$501,MATCH(INT($B$2+2)*100000+ROUND($A82*1440,0)*10+4,Rezervasyonlar!$N$2:$N$501,0)),"")</f>
        <v/>
      </c>
      <c r="E82" s="24">
        <f>IFERROR(INDEX(Rezervasyonlar!$E$2:$E$501,MATCH(INT($B$2+3)*100000+ROUND($A82*1440,0)*10+4,Rezervasyonlar!$N$2:$N$501,0)),"")</f>
        <v/>
      </c>
      <c r="F82" s="24">
        <f>IFERROR(INDEX(Rezervasyonlar!$E$2:$E$501,MATCH(INT($B$2+4)*100000+ROUND($A82*1440,0)*10+4,Rezervasyonlar!$N$2:$N$501,0)),"")</f>
        <v/>
      </c>
      <c r="G82" s="24">
        <f>IFERROR(INDEX(Rezervasyonlar!$E$2:$E$501,MATCH(INT($B$2+5)*100000+ROUND($A82*1440,0)*10+4,Rezervasyonlar!$N$2:$N$501,0)),"")</f>
        <v/>
      </c>
      <c r="H82" s="24">
        <f>IFERROR(INDEX(Rezervasyonlar!$E$2:$E$501,MATCH(INT($B$2+6)*100000+ROUND($A82*1440,0)*10+4,Rezervasyonlar!$N$2:$N$501,0)),"")</f>
        <v/>
      </c>
    </row>
    <row r="83">
      <c r="A83" s="23">
        <f>INDEX(Saatler,15)</f>
        <v/>
      </c>
      <c r="B83" s="24">
        <f>IFERROR(INDEX(Rezervasyonlar!$E$2:$E$501,MATCH(INT($B$2+0)*100000+ROUND($A83*1440,0)*10+4,Rezervasyonlar!$N$2:$N$501,0)),"")</f>
        <v/>
      </c>
      <c r="C83" s="24">
        <f>IFERROR(INDEX(Rezervasyonlar!$E$2:$E$501,MATCH(INT($B$2+1)*100000+ROUND($A83*1440,0)*10+4,Rezervasyonlar!$N$2:$N$501,0)),"")</f>
        <v/>
      </c>
      <c r="D83" s="24">
        <f>IFERROR(INDEX(Rezervasyonlar!$E$2:$E$501,MATCH(INT($B$2+2)*100000+ROUND($A83*1440,0)*10+4,Rezervasyonlar!$N$2:$N$501,0)),"")</f>
        <v/>
      </c>
      <c r="E83" s="24">
        <f>IFERROR(INDEX(Rezervasyonlar!$E$2:$E$501,MATCH(INT($B$2+3)*100000+ROUND($A83*1440,0)*10+4,Rezervasyonlar!$N$2:$N$501,0)),"")</f>
        <v/>
      </c>
      <c r="F83" s="24">
        <f>IFERROR(INDEX(Rezervasyonlar!$E$2:$E$501,MATCH(INT($B$2+4)*100000+ROUND($A83*1440,0)*10+4,Rezervasyonlar!$N$2:$N$501,0)),"")</f>
        <v/>
      </c>
      <c r="G83" s="24">
        <f>IFERROR(INDEX(Rezervasyonlar!$E$2:$E$501,MATCH(INT($B$2+5)*100000+ROUND($A83*1440,0)*10+4,Rezervasyonlar!$N$2:$N$501,0)),"")</f>
        <v/>
      </c>
      <c r="H83" s="24">
        <f>IFERROR(INDEX(Rezervasyonlar!$E$2:$E$501,MATCH(INT($B$2+6)*100000+ROUND($A83*1440,0)*10+4,Rezervasyonlar!$N$2:$N$501,0)),"")</f>
        <v/>
      </c>
    </row>
    <row r="84">
      <c r="A84" s="23">
        <f>INDEX(Saatler,16)</f>
        <v/>
      </c>
      <c r="B84" s="24">
        <f>IFERROR(INDEX(Rezervasyonlar!$E$2:$E$501,MATCH(INT($B$2+0)*100000+ROUND($A84*1440,0)*10+4,Rezervasyonlar!$N$2:$N$501,0)),"")</f>
        <v/>
      </c>
      <c r="C84" s="24">
        <f>IFERROR(INDEX(Rezervasyonlar!$E$2:$E$501,MATCH(INT($B$2+1)*100000+ROUND($A84*1440,0)*10+4,Rezervasyonlar!$N$2:$N$501,0)),"")</f>
        <v/>
      </c>
      <c r="D84" s="24">
        <f>IFERROR(INDEX(Rezervasyonlar!$E$2:$E$501,MATCH(INT($B$2+2)*100000+ROUND($A84*1440,0)*10+4,Rezervasyonlar!$N$2:$N$501,0)),"")</f>
        <v/>
      </c>
      <c r="E84" s="24">
        <f>IFERROR(INDEX(Rezervasyonlar!$E$2:$E$501,MATCH(INT($B$2+3)*100000+ROUND($A84*1440,0)*10+4,Rezervasyonlar!$N$2:$N$501,0)),"")</f>
        <v/>
      </c>
      <c r="F84" s="24">
        <f>IFERROR(INDEX(Rezervasyonlar!$E$2:$E$501,MATCH(INT($B$2+4)*100000+ROUND($A84*1440,0)*10+4,Rezervasyonlar!$N$2:$N$501,0)),"")</f>
        <v/>
      </c>
      <c r="G84" s="24">
        <f>IFERROR(INDEX(Rezervasyonlar!$E$2:$E$501,MATCH(INT($B$2+5)*100000+ROUND($A84*1440,0)*10+4,Rezervasyonlar!$N$2:$N$501,0)),"")</f>
        <v/>
      </c>
      <c r="H84" s="24">
        <f>IFERROR(INDEX(Rezervasyonlar!$E$2:$E$501,MATCH(INT($B$2+6)*100000+ROUND($A84*1440,0)*10+4,Rezervasyonlar!$N$2:$N$501,0)),"")</f>
        <v/>
      </c>
    </row>
    <row r="85">
      <c r="A85" s="23">
        <f>INDEX(Saatler,17)</f>
        <v/>
      </c>
      <c r="B85" s="24">
        <f>IFERROR(INDEX(Rezervasyonlar!$E$2:$E$501,MATCH(INT($B$2+0)*100000+ROUND($A85*1440,0)*10+4,Rezervasyonlar!$N$2:$N$501,0)),"")</f>
        <v/>
      </c>
      <c r="C85" s="24">
        <f>IFERROR(INDEX(Rezervasyonlar!$E$2:$E$501,MATCH(INT($B$2+1)*100000+ROUND($A85*1440,0)*10+4,Rezervasyonlar!$N$2:$N$501,0)),"")</f>
        <v/>
      </c>
      <c r="D85" s="24">
        <f>IFERROR(INDEX(Rezervasyonlar!$E$2:$E$501,MATCH(INT($B$2+2)*100000+ROUND($A85*1440,0)*10+4,Rezervasyonlar!$N$2:$N$501,0)),"")</f>
        <v/>
      </c>
      <c r="E85" s="24">
        <f>IFERROR(INDEX(Rezervasyonlar!$E$2:$E$501,MATCH(INT($B$2+3)*100000+ROUND($A85*1440,0)*10+4,Rezervasyonlar!$N$2:$N$501,0)),"")</f>
        <v/>
      </c>
      <c r="F85" s="24">
        <f>IFERROR(INDEX(Rezervasyonlar!$E$2:$E$501,MATCH(INT($B$2+4)*100000+ROUND($A85*1440,0)*10+4,Rezervasyonlar!$N$2:$N$501,0)),"")</f>
        <v/>
      </c>
      <c r="G85" s="24">
        <f>IFERROR(INDEX(Rezervasyonlar!$E$2:$E$501,MATCH(INT($B$2+5)*100000+ROUND($A85*1440,0)*10+4,Rezervasyonlar!$N$2:$N$501,0)),"")</f>
        <v/>
      </c>
      <c r="H85" s="24">
        <f>IFERROR(INDEX(Rezervasyonlar!$E$2:$E$501,MATCH(INT($B$2+6)*100000+ROUND($A85*1440,0)*10+4,Rezervasyonlar!$N$2:$N$501,0)),"")</f>
        <v/>
      </c>
    </row>
    <row r="86">
      <c r="A86" s="25" t="inlineStr">
        <is>
          <t>Doluluk</t>
        </is>
      </c>
      <c r="B86" s="26">
        <f>IF(INDEX(Sahalar,4)="","",COUNTIFS(Rezervasyonlar!$N$2:$N$501,"&gt;="&amp;(INT($B$2+0)*100000),Rezervasyonlar!$N$2:$N$501,"&lt;"&amp;(INT($B$2+0+1)*100000),Rezervasyonlar!$D$2:$D$501,INDEX(Sahalar,4))/17)</f>
        <v/>
      </c>
      <c r="C86" s="26">
        <f>IF(INDEX(Sahalar,4)="","",COUNTIFS(Rezervasyonlar!$N$2:$N$501,"&gt;="&amp;(INT($B$2+1)*100000),Rezervasyonlar!$N$2:$N$501,"&lt;"&amp;(INT($B$2+1+1)*100000),Rezervasyonlar!$D$2:$D$501,INDEX(Sahalar,4))/17)</f>
        <v/>
      </c>
      <c r="D86" s="26">
        <f>IF(INDEX(Sahalar,4)="","",COUNTIFS(Rezervasyonlar!$N$2:$N$501,"&gt;="&amp;(INT($B$2+2)*100000),Rezervasyonlar!$N$2:$N$501,"&lt;"&amp;(INT($B$2+2+1)*100000),Rezervasyonlar!$D$2:$D$501,INDEX(Sahalar,4))/17)</f>
        <v/>
      </c>
      <c r="E86" s="26">
        <f>IF(INDEX(Sahalar,4)="","",COUNTIFS(Rezervasyonlar!$N$2:$N$501,"&gt;="&amp;(INT($B$2+3)*100000),Rezervasyonlar!$N$2:$N$501,"&lt;"&amp;(INT($B$2+3+1)*100000),Rezervasyonlar!$D$2:$D$501,INDEX(Sahalar,4))/17)</f>
        <v/>
      </c>
      <c r="F86" s="26">
        <f>IF(INDEX(Sahalar,4)="","",COUNTIFS(Rezervasyonlar!$N$2:$N$501,"&gt;="&amp;(INT($B$2+4)*100000),Rezervasyonlar!$N$2:$N$501,"&lt;"&amp;(INT($B$2+4+1)*100000),Rezervasyonlar!$D$2:$D$501,INDEX(Sahalar,4))/17)</f>
        <v/>
      </c>
      <c r="G86" s="26">
        <f>IF(INDEX(Sahalar,4)="","",COUNTIFS(Rezervasyonlar!$N$2:$N$501,"&gt;="&amp;(INT($B$2+5)*100000),Rezervasyonlar!$N$2:$N$501,"&lt;"&amp;(INT($B$2+5+1)*100000),Rezervasyonlar!$D$2:$D$501,INDEX(Sahalar,4))/17)</f>
        <v/>
      </c>
      <c r="H86" s="26">
        <f>IF(INDEX(Sahalar,4)="","",COUNTIFS(Rezervasyonlar!$N$2:$N$501,"&gt;="&amp;(INT($B$2+6)*100000),Rezervasyonlar!$N$2:$N$501,"&lt;"&amp;(INT($B$2+6+1)*100000),Rezervasyonlar!$D$2:$D$501,INDEX(Sahalar,4))/17)</f>
        <v/>
      </c>
    </row>
  </sheetData>
  <conditionalFormatting sqref="B6:H22">
    <cfRule type="expression" priority="1" dxfId="3">
      <formula>LEN(B6)&gt;0</formula>
    </cfRule>
  </conditionalFormatting>
  <conditionalFormatting sqref="B27:H43">
    <cfRule type="expression" priority="2" dxfId="3">
      <formula>LEN(B27)&gt;0</formula>
    </cfRule>
  </conditionalFormatting>
  <conditionalFormatting sqref="B48:H64">
    <cfRule type="expression" priority="3" dxfId="3">
      <formula>LEN(B48)&gt;0</formula>
    </cfRule>
  </conditionalFormatting>
  <conditionalFormatting sqref="B69:H85">
    <cfRule type="expression" priority="4" dxfId="3">
      <formula>LEN(B69)&gt;0</formula>
    </cfRule>
  </conditionalFormatting>
  <hyperlinks>
    <hyperlink xmlns:r="http://schemas.openxmlformats.org/officeDocument/2006/relationships" ref="G1" r:id="rId1"/>
  </hyperlink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18" customWidth="1" min="4" max="4"/>
    <col width="14" customWidth="1" min="5" max="5"/>
    <col width="12" customWidth="1" min="6" max="6"/>
  </cols>
  <sheetData>
    <row r="1">
      <c r="A1" s="7">
        <f>Tesis&amp;" · Aylık özet"</f>
        <v/>
      </c>
      <c r="E1" s="8" t="inlineStr">
        <is>
          <t>tanrikuluapps.com ile hazırlandı</t>
        </is>
      </c>
    </row>
    <row r="2">
      <c r="A2" s="9" t="inlineStr">
        <is>
          <t>Ay (ayın 1'i):</t>
        </is>
      </c>
      <c r="B2" s="27">
        <f>DATE(YEAR(TODAY()),MONTH(TODAY()),1)</f>
        <v/>
      </c>
    </row>
    <row r="4">
      <c r="A4" s="15" t="inlineStr">
        <is>
          <t>Saha</t>
        </is>
      </c>
      <c r="B4" s="15" t="inlineStr">
        <is>
          <t>Maç</t>
        </is>
      </c>
      <c r="C4" s="15" t="inlineStr">
        <is>
          <t>Ciro</t>
        </is>
      </c>
      <c r="D4" s="15" t="inlineStr">
        <is>
          <t>Tahsil edilmemiş</t>
        </is>
      </c>
      <c r="E4" s="15" t="inlineStr">
        <is>
          <t>Gelmeyen</t>
        </is>
      </c>
      <c r="F4" s="15" t="inlineStr">
        <is>
          <t>Doluluk</t>
        </is>
      </c>
    </row>
    <row r="5">
      <c r="A5" s="17">
        <f>IF(INDEX(Sahalar,1)="","",INDEX(Sahalar,1))</f>
        <v/>
      </c>
      <c r="B5" s="17">
        <f>IF($A5="","",COUNTIFS(Rezervasyonlar!$A$2:$A$501,"&gt;="&amp;$B$2,Rezervasyonlar!$A$2:$A$501,"&lt;"&amp;EDATE($B$2,1),Rezervasyonlar!$D$2:$D$501,$A5,Rezervasyonlar!$L$2:$L$501,"&lt;&gt;İptal"))</f>
        <v/>
      </c>
      <c r="C5" s="19">
        <f>IF($A5="","",SUMIFS(Rezervasyonlar!$H$2:$H$501,Rezervasyonlar!$A$2:$A$501,"&gt;="&amp;$B$2,Rezervasyonlar!$A$2:$A$501,"&lt;"&amp;EDATE($B$2,1),Rezervasyonlar!$D$2:$D$501,$A5,Rezervasyonlar!$L$2:$L$501,"&lt;&gt;İptal"))</f>
        <v/>
      </c>
      <c r="D5" s="19">
        <f>IF($A5="","",SUMIFS(Rezervasyonlar!$K$2:$K$501,Rezervasyonlar!$A$2:$A$501,"&gt;="&amp;$B$2,Rezervasyonlar!$A$2:$A$501,"&lt;"&amp;EDATE($B$2,1),Rezervasyonlar!$D$2:$D$501,$A5,Rezervasyonlar!$L$2:$L$501,"&lt;&gt;İptal"))</f>
        <v/>
      </c>
      <c r="E5" s="17">
        <f>IF($A5="","",COUNTIFS(Rezervasyonlar!$A$2:$A$501,"&gt;="&amp;$B$2,Rezervasyonlar!$A$2:$A$501,"&lt;"&amp;EDATE($B$2,1),Rezervasyonlar!$D$2:$D$501,$A5,Rezervasyonlar!$L$2:$L$501,"Gelmedi"))</f>
        <v/>
      </c>
      <c r="F5" s="28">
        <f>IF($A5="","",B5/(DAY(EOMONTH($B$2,0))*COUNT(Saatler)))</f>
        <v/>
      </c>
    </row>
    <row r="6">
      <c r="A6" s="17">
        <f>IF(INDEX(Sahalar,2)="","",INDEX(Sahalar,2))</f>
        <v/>
      </c>
      <c r="B6" s="17">
        <f>IF($A6="","",COUNTIFS(Rezervasyonlar!$A$2:$A$501,"&gt;="&amp;$B$2,Rezervasyonlar!$A$2:$A$501,"&lt;"&amp;EDATE($B$2,1),Rezervasyonlar!$D$2:$D$501,$A6,Rezervasyonlar!$L$2:$L$501,"&lt;&gt;İptal"))</f>
        <v/>
      </c>
      <c r="C6" s="19">
        <f>IF($A6="","",SUMIFS(Rezervasyonlar!$H$2:$H$501,Rezervasyonlar!$A$2:$A$501,"&gt;="&amp;$B$2,Rezervasyonlar!$A$2:$A$501,"&lt;"&amp;EDATE($B$2,1),Rezervasyonlar!$D$2:$D$501,$A6,Rezervasyonlar!$L$2:$L$501,"&lt;&gt;İptal"))</f>
        <v/>
      </c>
      <c r="D6" s="19">
        <f>IF($A6="","",SUMIFS(Rezervasyonlar!$K$2:$K$501,Rezervasyonlar!$A$2:$A$501,"&gt;="&amp;$B$2,Rezervasyonlar!$A$2:$A$501,"&lt;"&amp;EDATE($B$2,1),Rezervasyonlar!$D$2:$D$501,$A6,Rezervasyonlar!$L$2:$L$501,"&lt;&gt;İptal"))</f>
        <v/>
      </c>
      <c r="E6" s="17">
        <f>IF($A6="","",COUNTIFS(Rezervasyonlar!$A$2:$A$501,"&gt;="&amp;$B$2,Rezervasyonlar!$A$2:$A$501,"&lt;"&amp;EDATE($B$2,1),Rezervasyonlar!$D$2:$D$501,$A6,Rezervasyonlar!$L$2:$L$501,"Gelmedi"))</f>
        <v/>
      </c>
      <c r="F6" s="28">
        <f>IF($A6="","",B6/(DAY(EOMONTH($B$2,0))*COUNT(Saatler)))</f>
        <v/>
      </c>
    </row>
    <row r="7">
      <c r="A7" s="17">
        <f>IF(INDEX(Sahalar,3)="","",INDEX(Sahalar,3))</f>
        <v/>
      </c>
      <c r="B7" s="17">
        <f>IF($A7="","",COUNTIFS(Rezervasyonlar!$A$2:$A$501,"&gt;="&amp;$B$2,Rezervasyonlar!$A$2:$A$501,"&lt;"&amp;EDATE($B$2,1),Rezervasyonlar!$D$2:$D$501,$A7,Rezervasyonlar!$L$2:$L$501,"&lt;&gt;İptal"))</f>
        <v/>
      </c>
      <c r="C7" s="19">
        <f>IF($A7="","",SUMIFS(Rezervasyonlar!$H$2:$H$501,Rezervasyonlar!$A$2:$A$501,"&gt;="&amp;$B$2,Rezervasyonlar!$A$2:$A$501,"&lt;"&amp;EDATE($B$2,1),Rezervasyonlar!$D$2:$D$501,$A7,Rezervasyonlar!$L$2:$L$501,"&lt;&gt;İptal"))</f>
        <v/>
      </c>
      <c r="D7" s="19">
        <f>IF($A7="","",SUMIFS(Rezervasyonlar!$K$2:$K$501,Rezervasyonlar!$A$2:$A$501,"&gt;="&amp;$B$2,Rezervasyonlar!$A$2:$A$501,"&lt;"&amp;EDATE($B$2,1),Rezervasyonlar!$D$2:$D$501,$A7,Rezervasyonlar!$L$2:$L$501,"&lt;&gt;İptal"))</f>
        <v/>
      </c>
      <c r="E7" s="17">
        <f>IF($A7="","",COUNTIFS(Rezervasyonlar!$A$2:$A$501,"&gt;="&amp;$B$2,Rezervasyonlar!$A$2:$A$501,"&lt;"&amp;EDATE($B$2,1),Rezervasyonlar!$D$2:$D$501,$A7,Rezervasyonlar!$L$2:$L$501,"Gelmedi"))</f>
        <v/>
      </c>
      <c r="F7" s="28">
        <f>IF($A7="","",B7/(DAY(EOMONTH($B$2,0))*COUNT(Saatler)))</f>
        <v/>
      </c>
    </row>
    <row r="8">
      <c r="A8" s="17">
        <f>IF(INDEX(Sahalar,4)="","",INDEX(Sahalar,4))</f>
        <v/>
      </c>
      <c r="B8" s="17">
        <f>IF($A8="","",COUNTIFS(Rezervasyonlar!$A$2:$A$501,"&gt;="&amp;$B$2,Rezervasyonlar!$A$2:$A$501,"&lt;"&amp;EDATE($B$2,1),Rezervasyonlar!$D$2:$D$501,$A8,Rezervasyonlar!$L$2:$L$501,"&lt;&gt;İptal"))</f>
        <v/>
      </c>
      <c r="C8" s="19">
        <f>IF($A8="","",SUMIFS(Rezervasyonlar!$H$2:$H$501,Rezervasyonlar!$A$2:$A$501,"&gt;="&amp;$B$2,Rezervasyonlar!$A$2:$A$501,"&lt;"&amp;EDATE($B$2,1),Rezervasyonlar!$D$2:$D$501,$A8,Rezervasyonlar!$L$2:$L$501,"&lt;&gt;İptal"))</f>
        <v/>
      </c>
      <c r="D8" s="19">
        <f>IF($A8="","",SUMIFS(Rezervasyonlar!$K$2:$K$501,Rezervasyonlar!$A$2:$A$501,"&gt;="&amp;$B$2,Rezervasyonlar!$A$2:$A$501,"&lt;"&amp;EDATE($B$2,1),Rezervasyonlar!$D$2:$D$501,$A8,Rezervasyonlar!$L$2:$L$501,"&lt;&gt;İptal"))</f>
        <v/>
      </c>
      <c r="E8" s="17">
        <f>IF($A8="","",COUNTIFS(Rezervasyonlar!$A$2:$A$501,"&gt;="&amp;$B$2,Rezervasyonlar!$A$2:$A$501,"&lt;"&amp;EDATE($B$2,1),Rezervasyonlar!$D$2:$D$501,$A8,Rezervasyonlar!$L$2:$L$501,"Gelmedi"))</f>
        <v/>
      </c>
      <c r="F8" s="28">
        <f>IF($A8="","",B8/(DAY(EOMONTH($B$2,0))*COUNT(Saatler)))</f>
        <v/>
      </c>
    </row>
    <row r="9">
      <c r="A9" s="9" t="inlineStr">
        <is>
          <t>Toplam</t>
        </is>
      </c>
      <c r="B9" s="29">
        <f>SUM(B5:B8)</f>
        <v/>
      </c>
      <c r="C9" s="30">
        <f>SUM(C5:C8)</f>
        <v/>
      </c>
      <c r="D9" s="30">
        <f>SUM(D5:D8)</f>
        <v/>
      </c>
      <c r="E9" s="29">
        <f>SUM(E5:E8)</f>
        <v/>
      </c>
    </row>
    <row r="11">
      <c r="A11" s="22" t="inlineStr">
        <is>
          <t>Doluluk = o ay oynanan maç ÷ (ayın gün sayısı × günlük saat sayısı). İptaller sayılmaz; gelmeyen takımın maçı sayılır.</t>
        </is>
      </c>
    </row>
  </sheetData>
  <hyperlinks>
    <hyperlink xmlns:r="http://schemas.openxmlformats.org/officeDocument/2006/relationships" ref="E1" r:id="rId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5" customWidth="1" min="3" max="3"/>
    <col width="12" customWidth="1" min="4" max="4"/>
    <col width="8" customWidth="1" min="5" max="5"/>
    <col width="11" customWidth="1" min="6" max="6"/>
    <col width="12" customWidth="1" min="7" max="7"/>
    <col width="12" customWidth="1" min="8" max="8"/>
    <col width="30" customWidth="1" min="9" max="9"/>
  </cols>
  <sheetData>
    <row r="1">
      <c r="A1" s="15" t="inlineStr">
        <is>
          <t>Takım</t>
        </is>
      </c>
      <c r="B1" s="15" t="inlineStr">
        <is>
          <t>Sorumlu</t>
        </is>
      </c>
      <c r="C1" s="15" t="inlineStr">
        <is>
          <t>Telefon</t>
        </is>
      </c>
      <c r="D1" s="15" t="inlineStr">
        <is>
          <t>Gün</t>
        </is>
      </c>
      <c r="E1" s="15" t="inlineStr">
        <is>
          <t>Saat</t>
        </is>
      </c>
      <c r="F1" s="15" t="inlineStr">
        <is>
          <t>Saha</t>
        </is>
      </c>
      <c r="G1" s="15" t="inlineStr">
        <is>
          <t>Aylık ücret</t>
        </is>
      </c>
      <c r="H1" s="15" t="inlineStr">
        <is>
          <t>Başlangıç</t>
        </is>
      </c>
      <c r="I1" s="15" t="inlineStr">
        <is>
          <t>Not</t>
        </is>
      </c>
    </row>
    <row r="2">
      <c r="A2" s="17" t="inlineStr">
        <is>
          <t>Kartallar</t>
        </is>
      </c>
      <c r="B2" s="17" t="inlineStr">
        <is>
          <t>Ahmet</t>
        </is>
      </c>
      <c r="C2" s="17" t="inlineStr">
        <is>
          <t>0532 000 00 01</t>
        </is>
      </c>
      <c r="D2" s="17" t="inlineStr">
        <is>
          <t>Pazartesi</t>
        </is>
      </c>
      <c r="E2" s="18" t="n">
        <v>0.7916666666666666</v>
      </c>
      <c r="F2" s="17" t="inlineStr">
        <is>
          <t>Saha 1</t>
        </is>
      </c>
      <c r="G2" s="19" t="n">
        <v>7200</v>
      </c>
      <c r="H2" s="16">
        <f>DATE(YEAR(TODAY()),MONTH(TODAY()),1)</f>
        <v/>
      </c>
      <c r="I2" s="20" t="inlineStr">
        <is>
          <t>ÖRNEK — silin</t>
        </is>
      </c>
    </row>
    <row r="3">
      <c r="A3" s="17" t="inlineStr">
        <is>
          <t>Yıldızspor</t>
        </is>
      </c>
      <c r="B3" s="17" t="inlineStr">
        <is>
          <t>Mehmet</t>
        </is>
      </c>
      <c r="C3" s="17" t="inlineStr">
        <is>
          <t>0532 000 00 04</t>
        </is>
      </c>
      <c r="D3" s="17" t="inlineStr">
        <is>
          <t>Salı</t>
        </is>
      </c>
      <c r="E3" s="18" t="n">
        <v>0.8333333333333334</v>
      </c>
      <c r="F3" s="17" t="inlineStr">
        <is>
          <t>Saha 1</t>
        </is>
      </c>
      <c r="G3" s="19" t="n">
        <v>7200</v>
      </c>
      <c r="H3" s="16">
        <f>DATE(YEAR(TODAY()),MONTH(TODAY()),1)</f>
        <v/>
      </c>
      <c r="I3" s="20" t="inlineStr">
        <is>
          <t>ÖRNEK — silin</t>
        </is>
      </c>
    </row>
    <row r="4">
      <c r="A4" s="17" t="inlineStr">
        <is>
          <t>Esnaf Ligi</t>
        </is>
      </c>
      <c r="B4" s="17" t="inlineStr">
        <is>
          <t>Ali</t>
        </is>
      </c>
      <c r="C4" s="17" t="inlineStr">
        <is>
          <t>0532 000 00 10</t>
        </is>
      </c>
      <c r="D4" s="17" t="inlineStr">
        <is>
          <t>Cuma</t>
        </is>
      </c>
      <c r="E4" s="18" t="n">
        <v>0.8333333333333334</v>
      </c>
      <c r="F4" s="17" t="inlineStr">
        <is>
          <t>Saha 1</t>
        </is>
      </c>
      <c r="G4" s="19" t="n">
        <v>7200</v>
      </c>
      <c r="H4" s="16">
        <f>DATE(YEAR(TODAY()),MONTH(TODAY()),1)</f>
        <v/>
      </c>
      <c r="I4" s="20" t="inlineStr">
        <is>
          <t>ÖRNEK — silin</t>
        </is>
      </c>
    </row>
    <row r="5">
      <c r="A5" s="17" t="n"/>
      <c r="B5" s="17" t="n"/>
      <c r="C5" s="17" t="n"/>
      <c r="D5" s="17" t="n"/>
      <c r="E5" s="17" t="n"/>
      <c r="F5" s="17" t="n"/>
      <c r="G5" s="17" t="n"/>
      <c r="H5" s="17" t="n"/>
      <c r="I5" s="17" t="n"/>
    </row>
    <row r="6">
      <c r="A6" s="17" t="n"/>
      <c r="B6" s="17" t="n"/>
      <c r="C6" s="17" t="n"/>
      <c r="D6" s="17" t="n"/>
      <c r="E6" s="17" t="n"/>
      <c r="F6" s="17" t="n"/>
      <c r="G6" s="17" t="n"/>
      <c r="H6" s="17" t="n"/>
      <c r="I6" s="17" t="n"/>
    </row>
    <row r="7">
      <c r="A7" s="17" t="n"/>
      <c r="B7" s="17" t="n"/>
      <c r="C7" s="17" t="n"/>
      <c r="D7" s="17" t="n"/>
      <c r="E7" s="17" t="n"/>
      <c r="F7" s="17" t="n"/>
      <c r="G7" s="17" t="n"/>
      <c r="H7" s="17" t="n"/>
      <c r="I7" s="17" t="n"/>
    </row>
    <row r="8">
      <c r="A8" s="17" t="n"/>
      <c r="B8" s="17" t="n"/>
      <c r="C8" s="17" t="n"/>
      <c r="D8" s="17" t="n"/>
      <c r="E8" s="17" t="n"/>
      <c r="F8" s="17" t="n"/>
      <c r="G8" s="17" t="n"/>
      <c r="H8" s="17" t="n"/>
      <c r="I8" s="17" t="n"/>
    </row>
    <row r="9">
      <c r="A9" s="17" t="n"/>
      <c r="B9" s="17" t="n"/>
      <c r="C9" s="17" t="n"/>
      <c r="D9" s="17" t="n"/>
      <c r="E9" s="17" t="n"/>
      <c r="F9" s="17" t="n"/>
      <c r="G9" s="17" t="n"/>
      <c r="H9" s="17" t="n"/>
      <c r="I9" s="17" t="n"/>
    </row>
    <row r="10">
      <c r="A10" s="17" t="n"/>
      <c r="B10" s="17" t="n"/>
      <c r="C10" s="17" t="n"/>
      <c r="D10" s="17" t="n"/>
      <c r="E10" s="17" t="n"/>
      <c r="F10" s="17" t="n"/>
      <c r="G10" s="17" t="n"/>
      <c r="H10" s="17" t="n"/>
      <c r="I10" s="17" t="n"/>
    </row>
    <row r="11">
      <c r="A11" s="17" t="n"/>
      <c r="B11" s="17" t="n"/>
      <c r="C11" s="17" t="n"/>
      <c r="D11" s="17" t="n"/>
      <c r="E11" s="17" t="n"/>
      <c r="F11" s="17" t="n"/>
      <c r="G11" s="17" t="n"/>
      <c r="H11" s="17" t="n"/>
      <c r="I11" s="17" t="n"/>
    </row>
    <row r="12">
      <c r="A12" s="17" t="n"/>
      <c r="B12" s="17" t="n"/>
      <c r="C12" s="17" t="n"/>
      <c r="D12" s="17" t="n"/>
      <c r="E12" s="17" t="n"/>
      <c r="F12" s="17" t="n"/>
      <c r="G12" s="17" t="n"/>
      <c r="H12" s="17" t="n"/>
      <c r="I12" s="17" t="n"/>
    </row>
    <row r="13">
      <c r="A13" s="17" t="n"/>
      <c r="B13" s="17" t="n"/>
      <c r="C13" s="17" t="n"/>
      <c r="D13" s="17" t="n"/>
      <c r="E13" s="17" t="n"/>
      <c r="F13" s="17" t="n"/>
      <c r="G13" s="17" t="n"/>
      <c r="H13" s="17" t="n"/>
      <c r="I13" s="17" t="n"/>
    </row>
    <row r="14">
      <c r="A14" s="17" t="n"/>
      <c r="B14" s="17" t="n"/>
      <c r="C14" s="17" t="n"/>
      <c r="D14" s="17" t="n"/>
      <c r="E14" s="17" t="n"/>
      <c r="F14" s="17" t="n"/>
      <c r="G14" s="17" t="n"/>
      <c r="H14" s="17" t="n"/>
      <c r="I14" s="17" t="n"/>
    </row>
    <row r="15">
      <c r="A15" s="17" t="n"/>
      <c r="B15" s="17" t="n"/>
      <c r="C15" s="17" t="n"/>
      <c r="D15" s="17" t="n"/>
      <c r="E15" s="17" t="n"/>
      <c r="F15" s="17" t="n"/>
      <c r="G15" s="17" t="n"/>
      <c r="H15" s="17" t="n"/>
      <c r="I15" s="17" t="n"/>
    </row>
    <row r="16">
      <c r="A16" s="17" t="n"/>
      <c r="B16" s="17" t="n"/>
      <c r="C16" s="17" t="n"/>
      <c r="D16" s="17" t="n"/>
      <c r="E16" s="17" t="n"/>
      <c r="F16" s="17" t="n"/>
      <c r="G16" s="17" t="n"/>
      <c r="H16" s="17" t="n"/>
      <c r="I16" s="17" t="n"/>
    </row>
    <row r="17">
      <c r="A17" s="17" t="n"/>
      <c r="B17" s="17" t="n"/>
      <c r="C17" s="17" t="n"/>
      <c r="D17" s="17" t="n"/>
      <c r="E17" s="17" t="n"/>
      <c r="F17" s="17" t="n"/>
      <c r="G17" s="17" t="n"/>
      <c r="H17" s="17" t="n"/>
      <c r="I17" s="17" t="n"/>
    </row>
    <row r="18">
      <c r="A18" s="17" t="n"/>
      <c r="B18" s="17" t="n"/>
      <c r="C18" s="17" t="n"/>
      <c r="D18" s="17" t="n"/>
      <c r="E18" s="17" t="n"/>
      <c r="F18" s="17" t="n"/>
      <c r="G18" s="17" t="n"/>
      <c r="H18" s="17" t="n"/>
      <c r="I18" s="17" t="n"/>
    </row>
    <row r="19">
      <c r="A19" s="17" t="n"/>
      <c r="B19" s="17" t="n"/>
      <c r="C19" s="17" t="n"/>
      <c r="D19" s="17" t="n"/>
      <c r="E19" s="17" t="n"/>
      <c r="F19" s="17" t="n"/>
      <c r="G19" s="17" t="n"/>
      <c r="H19" s="17" t="n"/>
      <c r="I19" s="17" t="n"/>
    </row>
    <row r="20">
      <c r="A20" s="17" t="n"/>
      <c r="B20" s="17" t="n"/>
      <c r="C20" s="17" t="n"/>
      <c r="D20" s="17" t="n"/>
      <c r="E20" s="17" t="n"/>
      <c r="F20" s="17" t="n"/>
      <c r="G20" s="17" t="n"/>
      <c r="H20" s="17" t="n"/>
      <c r="I20" s="17" t="n"/>
    </row>
    <row r="21">
      <c r="A21" s="17" t="n"/>
      <c r="B21" s="17" t="n"/>
      <c r="C21" s="17" t="n"/>
      <c r="D21" s="17" t="n"/>
      <c r="E21" s="17" t="n"/>
      <c r="F21" s="17" t="n"/>
      <c r="G21" s="17" t="n"/>
      <c r="H21" s="17" t="n"/>
      <c r="I21" s="17" t="n"/>
    </row>
    <row r="22">
      <c r="A22" s="17" t="n"/>
      <c r="B22" s="17" t="n"/>
      <c r="C22" s="17" t="n"/>
      <c r="D22" s="17" t="n"/>
      <c r="E22" s="17" t="n"/>
      <c r="F22" s="17" t="n"/>
      <c r="G22" s="17" t="n"/>
      <c r="H22" s="17" t="n"/>
      <c r="I22" s="17" t="n"/>
    </row>
    <row r="23">
      <c r="A23" s="17" t="n"/>
      <c r="B23" s="17" t="n"/>
      <c r="C23" s="17" t="n"/>
      <c r="D23" s="17" t="n"/>
      <c r="E23" s="17" t="n"/>
      <c r="F23" s="17" t="n"/>
      <c r="G23" s="17" t="n"/>
      <c r="H23" s="17" t="n"/>
      <c r="I23" s="17" t="n"/>
    </row>
    <row r="24">
      <c r="A24" s="17" t="n"/>
      <c r="B24" s="17" t="n"/>
      <c r="C24" s="17" t="n"/>
      <c r="D24" s="17" t="n"/>
      <c r="E24" s="17" t="n"/>
      <c r="F24" s="17" t="n"/>
      <c r="G24" s="17" t="n"/>
      <c r="H24" s="17" t="n"/>
      <c r="I24" s="17" t="n"/>
    </row>
    <row r="25">
      <c r="A25" s="17" t="n"/>
      <c r="B25" s="17" t="n"/>
      <c r="C25" s="17" t="n"/>
      <c r="D25" s="17" t="n"/>
      <c r="E25" s="17" t="n"/>
      <c r="F25" s="17" t="n"/>
      <c r="G25" s="17" t="n"/>
      <c r="H25" s="17" t="n"/>
      <c r="I25" s="17" t="n"/>
    </row>
    <row r="26">
      <c r="A26" s="17" t="n"/>
      <c r="B26" s="17" t="n"/>
      <c r="C26" s="17" t="n"/>
      <c r="D26" s="17" t="n"/>
      <c r="E26" s="17" t="n"/>
      <c r="F26" s="17" t="n"/>
      <c r="G26" s="17" t="n"/>
      <c r="H26" s="17" t="n"/>
      <c r="I26" s="17" t="n"/>
    </row>
    <row r="27">
      <c r="A27" s="17" t="n"/>
      <c r="B27" s="17" t="n"/>
      <c r="C27" s="17" t="n"/>
      <c r="D27" s="17" t="n"/>
      <c r="E27" s="17" t="n"/>
      <c r="F27" s="17" t="n"/>
      <c r="G27" s="17" t="n"/>
      <c r="H27" s="17" t="n"/>
      <c r="I27" s="17" t="n"/>
    </row>
    <row r="28">
      <c r="A28" s="17" t="n"/>
      <c r="B28" s="17" t="n"/>
      <c r="C28" s="17" t="n"/>
      <c r="D28" s="17" t="n"/>
      <c r="E28" s="17" t="n"/>
      <c r="F28" s="17" t="n"/>
      <c r="G28" s="17" t="n"/>
      <c r="H28" s="17" t="n"/>
      <c r="I28" s="17" t="n"/>
    </row>
    <row r="29">
      <c r="A29" s="17" t="n"/>
      <c r="B29" s="17" t="n"/>
      <c r="C29" s="17" t="n"/>
      <c r="D29" s="17" t="n"/>
      <c r="E29" s="17" t="n"/>
      <c r="F29" s="17" t="n"/>
      <c r="G29" s="17" t="n"/>
      <c r="H29" s="17" t="n"/>
      <c r="I29" s="17" t="n"/>
    </row>
    <row r="30">
      <c r="A30" s="17" t="n"/>
      <c r="B30" s="17" t="n"/>
      <c r="C30" s="17" t="n"/>
      <c r="D30" s="17" t="n"/>
      <c r="E30" s="17" t="n"/>
      <c r="F30" s="17" t="n"/>
      <c r="G30" s="17" t="n"/>
      <c r="H30" s="17" t="n"/>
      <c r="I30" s="17" t="n"/>
    </row>
    <row r="31">
      <c r="A31" s="17" t="n"/>
      <c r="B31" s="17" t="n"/>
      <c r="C31" s="17" t="n"/>
      <c r="D31" s="17" t="n"/>
      <c r="E31" s="17" t="n"/>
      <c r="F31" s="17" t="n"/>
      <c r="G31" s="17" t="n"/>
      <c r="H31" s="17" t="n"/>
      <c r="I31" s="17" t="n"/>
    </row>
    <row r="32">
      <c r="A32" s="17" t="n"/>
      <c r="B32" s="17" t="n"/>
      <c r="C32" s="17" t="n"/>
      <c r="D32" s="17" t="n"/>
      <c r="E32" s="17" t="n"/>
      <c r="F32" s="17" t="n"/>
      <c r="G32" s="17" t="n"/>
      <c r="H32" s="17" t="n"/>
      <c r="I32" s="17" t="n"/>
    </row>
    <row r="33">
      <c r="A33" s="17" t="n"/>
      <c r="B33" s="17" t="n"/>
      <c r="C33" s="17" t="n"/>
      <c r="D33" s="17" t="n"/>
      <c r="E33" s="17" t="n"/>
      <c r="F33" s="17" t="n"/>
      <c r="G33" s="17" t="n"/>
      <c r="H33" s="17" t="n"/>
      <c r="I33" s="17" t="n"/>
    </row>
    <row r="34">
      <c r="A34" s="17" t="n"/>
      <c r="B34" s="17" t="n"/>
      <c r="C34" s="17" t="n"/>
      <c r="D34" s="17" t="n"/>
      <c r="E34" s="17" t="n"/>
      <c r="F34" s="17" t="n"/>
      <c r="G34" s="17" t="n"/>
      <c r="H34" s="17" t="n"/>
      <c r="I34" s="17" t="n"/>
    </row>
    <row r="35">
      <c r="A35" s="17" t="n"/>
      <c r="B35" s="17" t="n"/>
      <c r="C35" s="17" t="n"/>
      <c r="D35" s="17" t="n"/>
      <c r="E35" s="17" t="n"/>
      <c r="F35" s="17" t="n"/>
      <c r="G35" s="17" t="n"/>
      <c r="H35" s="17" t="n"/>
      <c r="I35" s="17" t="n"/>
    </row>
    <row r="36">
      <c r="A36" s="17" t="n"/>
      <c r="B36" s="17" t="n"/>
      <c r="C36" s="17" t="n"/>
      <c r="D36" s="17" t="n"/>
      <c r="E36" s="17" t="n"/>
      <c r="F36" s="17" t="n"/>
      <c r="G36" s="17" t="n"/>
      <c r="H36" s="17" t="n"/>
      <c r="I36" s="17" t="n"/>
    </row>
    <row r="37">
      <c r="A37" s="17" t="n"/>
      <c r="B37" s="17" t="n"/>
      <c r="C37" s="17" t="n"/>
      <c r="D37" s="17" t="n"/>
      <c r="E37" s="17" t="n"/>
      <c r="F37" s="17" t="n"/>
      <c r="G37" s="17" t="n"/>
      <c r="H37" s="17" t="n"/>
      <c r="I37" s="17" t="n"/>
    </row>
    <row r="38">
      <c r="A38" s="17" t="n"/>
      <c r="B38" s="17" t="n"/>
      <c r="C38" s="17" t="n"/>
      <c r="D38" s="17" t="n"/>
      <c r="E38" s="17" t="n"/>
      <c r="F38" s="17" t="n"/>
      <c r="G38" s="17" t="n"/>
      <c r="H38" s="17" t="n"/>
      <c r="I38" s="17" t="n"/>
    </row>
    <row r="39">
      <c r="A39" s="17" t="n"/>
      <c r="B39" s="17" t="n"/>
      <c r="C39" s="17" t="n"/>
      <c r="D39" s="17" t="n"/>
      <c r="E39" s="17" t="n"/>
      <c r="F39" s="17" t="n"/>
      <c r="G39" s="17" t="n"/>
      <c r="H39" s="17" t="n"/>
      <c r="I39" s="17" t="n"/>
    </row>
    <row r="40">
      <c r="A40" s="17" t="n"/>
      <c r="B40" s="17" t="n"/>
      <c r="C40" s="17" t="n"/>
      <c r="D40" s="17" t="n"/>
      <c r="E40" s="17" t="n"/>
      <c r="F40" s="17" t="n"/>
      <c r="G40" s="17" t="n"/>
      <c r="H40" s="17" t="n"/>
      <c r="I40" s="17" t="n"/>
    </row>
    <row r="41">
      <c r="A41" s="17" t="n"/>
      <c r="B41" s="17" t="n"/>
      <c r="C41" s="17" t="n"/>
      <c r="D41" s="17" t="n"/>
      <c r="E41" s="17" t="n"/>
      <c r="F41" s="17" t="n"/>
      <c r="G41" s="17" t="n"/>
      <c r="H41" s="17" t="n"/>
      <c r="I41" s="17" t="n"/>
    </row>
    <row r="42">
      <c r="A42" s="17" t="n"/>
      <c r="B42" s="17" t="n"/>
      <c r="C42" s="17" t="n"/>
      <c r="D42" s="17" t="n"/>
      <c r="E42" s="17" t="n"/>
      <c r="F42" s="17" t="n"/>
      <c r="G42" s="17" t="n"/>
      <c r="H42" s="17" t="n"/>
      <c r="I42" s="17" t="n"/>
    </row>
    <row r="43">
      <c r="A43" s="17" t="n"/>
      <c r="B43" s="17" t="n"/>
      <c r="C43" s="17" t="n"/>
      <c r="D43" s="17" t="n"/>
      <c r="E43" s="17" t="n"/>
      <c r="F43" s="17" t="n"/>
      <c r="G43" s="17" t="n"/>
      <c r="H43" s="17" t="n"/>
      <c r="I43" s="17" t="n"/>
    </row>
    <row r="44">
      <c r="A44" s="17" t="n"/>
      <c r="B44" s="17" t="n"/>
      <c r="C44" s="17" t="n"/>
      <c r="D44" s="17" t="n"/>
      <c r="E44" s="17" t="n"/>
      <c r="F44" s="17" t="n"/>
      <c r="G44" s="17" t="n"/>
      <c r="H44" s="17" t="n"/>
      <c r="I44" s="17" t="n"/>
    </row>
    <row r="45">
      <c r="A45" s="17" t="n"/>
      <c r="B45" s="17" t="n"/>
      <c r="C45" s="17" t="n"/>
      <c r="D45" s="17" t="n"/>
      <c r="E45" s="17" t="n"/>
      <c r="F45" s="17" t="n"/>
      <c r="G45" s="17" t="n"/>
      <c r="H45" s="17" t="n"/>
      <c r="I45" s="17" t="n"/>
    </row>
    <row r="46">
      <c r="A46" s="17" t="n"/>
      <c r="B46" s="17" t="n"/>
      <c r="C46" s="17" t="n"/>
      <c r="D46" s="17" t="n"/>
      <c r="E46" s="17" t="n"/>
      <c r="F46" s="17" t="n"/>
      <c r="G46" s="17" t="n"/>
      <c r="H46" s="17" t="n"/>
      <c r="I46" s="17" t="n"/>
    </row>
    <row r="47">
      <c r="A47" s="17" t="n"/>
      <c r="B47" s="17" t="n"/>
      <c r="C47" s="17" t="n"/>
      <c r="D47" s="17" t="n"/>
      <c r="E47" s="17" t="n"/>
      <c r="F47" s="17" t="n"/>
      <c r="G47" s="17" t="n"/>
      <c r="H47" s="17" t="n"/>
      <c r="I47" s="17" t="n"/>
    </row>
    <row r="48">
      <c r="A48" s="17" t="n"/>
      <c r="B48" s="17" t="n"/>
      <c r="C48" s="17" t="n"/>
      <c r="D48" s="17" t="n"/>
      <c r="E48" s="17" t="n"/>
      <c r="F48" s="17" t="n"/>
      <c r="G48" s="17" t="n"/>
      <c r="H48" s="17" t="n"/>
      <c r="I48" s="17" t="n"/>
    </row>
    <row r="49">
      <c r="A49" s="17" t="n"/>
      <c r="B49" s="17" t="n"/>
      <c r="C49" s="17" t="n"/>
      <c r="D49" s="17" t="n"/>
      <c r="E49" s="17" t="n"/>
      <c r="F49" s="17" t="n"/>
      <c r="G49" s="17" t="n"/>
      <c r="H49" s="17" t="n"/>
      <c r="I49" s="17" t="n"/>
    </row>
    <row r="50">
      <c r="A50" s="17" t="n"/>
      <c r="B50" s="17" t="n"/>
      <c r="C50" s="17" t="n"/>
      <c r="D50" s="17" t="n"/>
      <c r="E50" s="17" t="n"/>
      <c r="F50" s="17" t="n"/>
      <c r="G50" s="17" t="n"/>
      <c r="H50" s="17" t="n"/>
      <c r="I50" s="17" t="n"/>
    </row>
    <row r="51">
      <c r="A51" s="17" t="n"/>
      <c r="B51" s="17" t="n"/>
      <c r="C51" s="17" t="n"/>
      <c r="D51" s="17" t="n"/>
      <c r="E51" s="17" t="n"/>
      <c r="F51" s="17" t="n"/>
      <c r="G51" s="17" t="n"/>
      <c r="H51" s="17" t="n"/>
      <c r="I51" s="17" t="n"/>
    </row>
    <row r="52">
      <c r="A52" s="17" t="n"/>
      <c r="B52" s="17" t="n"/>
      <c r="C52" s="17" t="n"/>
      <c r="D52" s="17" t="n"/>
      <c r="E52" s="17" t="n"/>
      <c r="F52" s="17" t="n"/>
      <c r="G52" s="17" t="n"/>
      <c r="H52" s="17" t="n"/>
      <c r="I52" s="17" t="n"/>
    </row>
    <row r="53">
      <c r="A53" s="17" t="n"/>
      <c r="B53" s="17" t="n"/>
      <c r="C53" s="17" t="n"/>
      <c r="D53" s="17" t="n"/>
      <c r="E53" s="17" t="n"/>
      <c r="F53" s="17" t="n"/>
      <c r="G53" s="17" t="n"/>
      <c r="H53" s="17" t="n"/>
      <c r="I53" s="17" t="n"/>
    </row>
    <row r="54">
      <c r="A54" s="17" t="n"/>
      <c r="B54" s="17" t="n"/>
      <c r="C54" s="17" t="n"/>
      <c r="D54" s="17" t="n"/>
      <c r="E54" s="17" t="n"/>
      <c r="F54" s="17" t="n"/>
      <c r="G54" s="17" t="n"/>
      <c r="H54" s="17" t="n"/>
      <c r="I54" s="17" t="n"/>
    </row>
    <row r="55">
      <c r="A55" s="17" t="n"/>
      <c r="B55" s="17" t="n"/>
      <c r="C55" s="17" t="n"/>
      <c r="D55" s="17" t="n"/>
      <c r="E55" s="17" t="n"/>
      <c r="F55" s="17" t="n"/>
      <c r="G55" s="17" t="n"/>
      <c r="H55" s="17" t="n"/>
      <c r="I55" s="17" t="n"/>
    </row>
    <row r="56">
      <c r="A56" s="17" t="n"/>
      <c r="B56" s="17" t="n"/>
      <c r="C56" s="17" t="n"/>
      <c r="D56" s="17" t="n"/>
      <c r="E56" s="17" t="n"/>
      <c r="F56" s="17" t="n"/>
      <c r="G56" s="17" t="n"/>
      <c r="H56" s="17" t="n"/>
      <c r="I56" s="17" t="n"/>
    </row>
    <row r="57">
      <c r="A57" s="17" t="n"/>
      <c r="B57" s="17" t="n"/>
      <c r="C57" s="17" t="n"/>
      <c r="D57" s="17" t="n"/>
      <c r="E57" s="17" t="n"/>
      <c r="F57" s="17" t="n"/>
      <c r="G57" s="17" t="n"/>
      <c r="H57" s="17" t="n"/>
      <c r="I57" s="17" t="n"/>
    </row>
    <row r="58">
      <c r="A58" s="17" t="n"/>
      <c r="B58" s="17" t="n"/>
      <c r="C58" s="17" t="n"/>
      <c r="D58" s="17" t="n"/>
      <c r="E58" s="17" t="n"/>
      <c r="F58" s="17" t="n"/>
      <c r="G58" s="17" t="n"/>
      <c r="H58" s="17" t="n"/>
      <c r="I58" s="17" t="n"/>
    </row>
    <row r="59">
      <c r="A59" s="17" t="n"/>
      <c r="B59" s="17" t="n"/>
      <c r="C59" s="17" t="n"/>
      <c r="D59" s="17" t="n"/>
      <c r="E59" s="17" t="n"/>
      <c r="F59" s="17" t="n"/>
      <c r="G59" s="17" t="n"/>
      <c r="H59" s="17" t="n"/>
      <c r="I59" s="17" t="n"/>
    </row>
    <row r="60">
      <c r="A60" s="17" t="n"/>
      <c r="B60" s="17" t="n"/>
      <c r="C60" s="17" t="n"/>
      <c r="D60" s="17" t="n"/>
      <c r="E60" s="17" t="n"/>
      <c r="F60" s="17" t="n"/>
      <c r="G60" s="17" t="n"/>
      <c r="H60" s="17" t="n"/>
      <c r="I60" s="17" t="n"/>
    </row>
    <row r="61">
      <c r="A61" s="17" t="n"/>
      <c r="B61" s="17" t="n"/>
      <c r="C61" s="17" t="n"/>
      <c r="D61" s="17" t="n"/>
      <c r="E61" s="17" t="n"/>
      <c r="F61" s="17" t="n"/>
      <c r="G61" s="17" t="n"/>
      <c r="H61" s="17" t="n"/>
      <c r="I61" s="17" t="n"/>
    </row>
    <row r="62">
      <c r="A62" s="17" t="n"/>
      <c r="B62" s="17" t="n"/>
      <c r="C62" s="17" t="n"/>
      <c r="D62" s="17" t="n"/>
      <c r="E62" s="17" t="n"/>
      <c r="F62" s="17" t="n"/>
      <c r="G62" s="17" t="n"/>
      <c r="H62" s="17" t="n"/>
      <c r="I62" s="17" t="n"/>
    </row>
    <row r="63">
      <c r="A63" s="17" t="n"/>
      <c r="B63" s="17" t="n"/>
      <c r="C63" s="17" t="n"/>
      <c r="D63" s="17" t="n"/>
      <c r="E63" s="17" t="n"/>
      <c r="F63" s="17" t="n"/>
      <c r="G63" s="17" t="n"/>
      <c r="H63" s="17" t="n"/>
      <c r="I63" s="17" t="n"/>
    </row>
    <row r="64">
      <c r="A64" s="17" t="n"/>
      <c r="B64" s="17" t="n"/>
      <c r="C64" s="17" t="n"/>
      <c r="D64" s="17" t="n"/>
      <c r="E64" s="17" t="n"/>
      <c r="F64" s="17" t="n"/>
      <c r="G64" s="17" t="n"/>
      <c r="H64" s="17" t="n"/>
      <c r="I64" s="17" t="n"/>
    </row>
    <row r="65">
      <c r="A65" s="17" t="n"/>
      <c r="B65" s="17" t="n"/>
      <c r="C65" s="17" t="n"/>
      <c r="D65" s="17" t="n"/>
      <c r="E65" s="17" t="n"/>
      <c r="F65" s="17" t="n"/>
      <c r="G65" s="17" t="n"/>
      <c r="H65" s="17" t="n"/>
      <c r="I65" s="17" t="n"/>
    </row>
    <row r="66">
      <c r="A66" s="17" t="n"/>
      <c r="B66" s="17" t="n"/>
      <c r="C66" s="17" t="n"/>
      <c r="D66" s="17" t="n"/>
      <c r="E66" s="17" t="n"/>
      <c r="F66" s="17" t="n"/>
      <c r="G66" s="17" t="n"/>
      <c r="H66" s="17" t="n"/>
      <c r="I66" s="17" t="n"/>
    </row>
    <row r="67">
      <c r="A67" s="17" t="n"/>
      <c r="B67" s="17" t="n"/>
      <c r="C67" s="17" t="n"/>
      <c r="D67" s="17" t="n"/>
      <c r="E67" s="17" t="n"/>
      <c r="F67" s="17" t="n"/>
      <c r="G67" s="17" t="n"/>
      <c r="H67" s="17" t="n"/>
      <c r="I67" s="17" t="n"/>
    </row>
    <row r="68">
      <c r="A68" s="17" t="n"/>
      <c r="B68" s="17" t="n"/>
      <c r="C68" s="17" t="n"/>
      <c r="D68" s="17" t="n"/>
      <c r="E68" s="17" t="n"/>
      <c r="F68" s="17" t="n"/>
      <c r="G68" s="17" t="n"/>
      <c r="H68" s="17" t="n"/>
      <c r="I68" s="17" t="n"/>
    </row>
    <row r="69">
      <c r="A69" s="17" t="n"/>
      <c r="B69" s="17" t="n"/>
      <c r="C69" s="17" t="n"/>
      <c r="D69" s="17" t="n"/>
      <c r="E69" s="17" t="n"/>
      <c r="F69" s="17" t="n"/>
      <c r="G69" s="17" t="n"/>
      <c r="H69" s="17" t="n"/>
      <c r="I69" s="17" t="n"/>
    </row>
    <row r="70">
      <c r="A70" s="17" t="n"/>
      <c r="B70" s="17" t="n"/>
      <c r="C70" s="17" t="n"/>
      <c r="D70" s="17" t="n"/>
      <c r="E70" s="17" t="n"/>
      <c r="F70" s="17" t="n"/>
      <c r="G70" s="17" t="n"/>
      <c r="H70" s="17" t="n"/>
      <c r="I70" s="17" t="n"/>
    </row>
    <row r="71">
      <c r="A71" s="17" t="n"/>
      <c r="B71" s="17" t="n"/>
      <c r="C71" s="17" t="n"/>
      <c r="D71" s="17" t="n"/>
      <c r="E71" s="17" t="n"/>
      <c r="F71" s="17" t="n"/>
      <c r="G71" s="17" t="n"/>
      <c r="H71" s="17" t="n"/>
      <c r="I71" s="17" t="n"/>
    </row>
    <row r="72">
      <c r="A72" s="17" t="n"/>
      <c r="B72" s="17" t="n"/>
      <c r="C72" s="17" t="n"/>
      <c r="D72" s="17" t="n"/>
      <c r="E72" s="17" t="n"/>
      <c r="F72" s="17" t="n"/>
      <c r="G72" s="17" t="n"/>
      <c r="H72" s="17" t="n"/>
      <c r="I72" s="17" t="n"/>
    </row>
    <row r="73">
      <c r="A73" s="17" t="n"/>
      <c r="B73" s="17" t="n"/>
      <c r="C73" s="17" t="n"/>
      <c r="D73" s="17" t="n"/>
      <c r="E73" s="17" t="n"/>
      <c r="F73" s="17" t="n"/>
      <c r="G73" s="17" t="n"/>
      <c r="H73" s="17" t="n"/>
      <c r="I73" s="17" t="n"/>
    </row>
    <row r="74">
      <c r="A74" s="17" t="n"/>
      <c r="B74" s="17" t="n"/>
      <c r="C74" s="17" t="n"/>
      <c r="D74" s="17" t="n"/>
      <c r="E74" s="17" t="n"/>
      <c r="F74" s="17" t="n"/>
      <c r="G74" s="17" t="n"/>
      <c r="H74" s="17" t="n"/>
      <c r="I74" s="17" t="n"/>
    </row>
    <row r="75">
      <c r="A75" s="17" t="n"/>
      <c r="B75" s="17" t="n"/>
      <c r="C75" s="17" t="n"/>
      <c r="D75" s="17" t="n"/>
      <c r="E75" s="17" t="n"/>
      <c r="F75" s="17" t="n"/>
      <c r="G75" s="17" t="n"/>
      <c r="H75" s="17" t="n"/>
      <c r="I75" s="17" t="n"/>
    </row>
    <row r="76">
      <c r="A76" s="17" t="n"/>
      <c r="B76" s="17" t="n"/>
      <c r="C76" s="17" t="n"/>
      <c r="D76" s="17" t="n"/>
      <c r="E76" s="17" t="n"/>
      <c r="F76" s="17" t="n"/>
      <c r="G76" s="17" t="n"/>
      <c r="H76" s="17" t="n"/>
      <c r="I76" s="17" t="n"/>
    </row>
    <row r="77">
      <c r="A77" s="17" t="n"/>
      <c r="B77" s="17" t="n"/>
      <c r="C77" s="17" t="n"/>
      <c r="D77" s="17" t="n"/>
      <c r="E77" s="17" t="n"/>
      <c r="F77" s="17" t="n"/>
      <c r="G77" s="17" t="n"/>
      <c r="H77" s="17" t="n"/>
      <c r="I77" s="17" t="n"/>
    </row>
    <row r="78">
      <c r="A78" s="17" t="n"/>
      <c r="B78" s="17" t="n"/>
      <c r="C78" s="17" t="n"/>
      <c r="D78" s="17" t="n"/>
      <c r="E78" s="17" t="n"/>
      <c r="F78" s="17" t="n"/>
      <c r="G78" s="17" t="n"/>
      <c r="H78" s="17" t="n"/>
      <c r="I78" s="17" t="n"/>
    </row>
    <row r="79">
      <c r="A79" s="17" t="n"/>
      <c r="B79" s="17" t="n"/>
      <c r="C79" s="17" t="n"/>
      <c r="D79" s="17" t="n"/>
      <c r="E79" s="17" t="n"/>
      <c r="F79" s="17" t="n"/>
      <c r="G79" s="17" t="n"/>
      <c r="H79" s="17" t="n"/>
      <c r="I79" s="17" t="n"/>
    </row>
    <row r="80">
      <c r="A80" s="17" t="n"/>
      <c r="B80" s="17" t="n"/>
      <c r="C80" s="17" t="n"/>
      <c r="D80" s="17" t="n"/>
      <c r="E80" s="17" t="n"/>
      <c r="F80" s="17" t="n"/>
      <c r="G80" s="17" t="n"/>
      <c r="H80" s="17" t="n"/>
      <c r="I80" s="17" t="n"/>
    </row>
    <row r="81">
      <c r="A81" s="17" t="n"/>
      <c r="B81" s="17" t="n"/>
      <c r="C81" s="17" t="n"/>
      <c r="D81" s="17" t="n"/>
      <c r="E81" s="17" t="n"/>
      <c r="F81" s="17" t="n"/>
      <c r="G81" s="17" t="n"/>
      <c r="H81" s="17" t="n"/>
      <c r="I81" s="17" t="n"/>
    </row>
    <row r="82">
      <c r="A82" s="17" t="n"/>
      <c r="B82" s="17" t="n"/>
      <c r="C82" s="17" t="n"/>
      <c r="D82" s="17" t="n"/>
      <c r="E82" s="17" t="n"/>
      <c r="F82" s="17" t="n"/>
      <c r="G82" s="17" t="n"/>
      <c r="H82" s="17" t="n"/>
      <c r="I82" s="17" t="n"/>
    </row>
    <row r="83">
      <c r="A83" s="17" t="n"/>
      <c r="B83" s="17" t="n"/>
      <c r="C83" s="17" t="n"/>
      <c r="D83" s="17" t="n"/>
      <c r="E83" s="17" t="n"/>
      <c r="F83" s="17" t="n"/>
      <c r="G83" s="17" t="n"/>
      <c r="H83" s="17" t="n"/>
      <c r="I83" s="17" t="n"/>
    </row>
    <row r="84">
      <c r="A84" s="17" t="n"/>
      <c r="B84" s="17" t="n"/>
      <c r="C84" s="17" t="n"/>
      <c r="D84" s="17" t="n"/>
      <c r="E84" s="17" t="n"/>
      <c r="F84" s="17" t="n"/>
      <c r="G84" s="17" t="n"/>
      <c r="H84" s="17" t="n"/>
      <c r="I84" s="17" t="n"/>
    </row>
    <row r="85">
      <c r="A85" s="17" t="n"/>
      <c r="B85" s="17" t="n"/>
      <c r="C85" s="17" t="n"/>
      <c r="D85" s="17" t="n"/>
      <c r="E85" s="17" t="n"/>
      <c r="F85" s="17" t="n"/>
      <c r="G85" s="17" t="n"/>
      <c r="H85" s="17" t="n"/>
      <c r="I85" s="17" t="n"/>
    </row>
    <row r="86">
      <c r="A86" s="17" t="n"/>
      <c r="B86" s="17" t="n"/>
      <c r="C86" s="17" t="n"/>
      <c r="D86" s="17" t="n"/>
      <c r="E86" s="17" t="n"/>
      <c r="F86" s="17" t="n"/>
      <c r="G86" s="17" t="n"/>
      <c r="H86" s="17" t="n"/>
      <c r="I86" s="17" t="n"/>
    </row>
    <row r="87">
      <c r="A87" s="17" t="n"/>
      <c r="B87" s="17" t="n"/>
      <c r="C87" s="17" t="n"/>
      <c r="D87" s="17" t="n"/>
      <c r="E87" s="17" t="n"/>
      <c r="F87" s="17" t="n"/>
      <c r="G87" s="17" t="n"/>
      <c r="H87" s="17" t="n"/>
      <c r="I87" s="17" t="n"/>
    </row>
    <row r="88">
      <c r="A88" s="17" t="n"/>
      <c r="B88" s="17" t="n"/>
      <c r="C88" s="17" t="n"/>
      <c r="D88" s="17" t="n"/>
      <c r="E88" s="17" t="n"/>
      <c r="F88" s="17" t="n"/>
      <c r="G88" s="17" t="n"/>
      <c r="H88" s="17" t="n"/>
      <c r="I88" s="17" t="n"/>
    </row>
    <row r="89">
      <c r="A89" s="17" t="n"/>
      <c r="B89" s="17" t="n"/>
      <c r="C89" s="17" t="n"/>
      <c r="D89" s="17" t="n"/>
      <c r="E89" s="17" t="n"/>
      <c r="F89" s="17" t="n"/>
      <c r="G89" s="17" t="n"/>
      <c r="H89" s="17" t="n"/>
      <c r="I89" s="17" t="n"/>
    </row>
    <row r="90">
      <c r="A90" s="17" t="n"/>
      <c r="B90" s="17" t="n"/>
      <c r="C90" s="17" t="n"/>
      <c r="D90" s="17" t="n"/>
      <c r="E90" s="17" t="n"/>
      <c r="F90" s="17" t="n"/>
      <c r="G90" s="17" t="n"/>
      <c r="H90" s="17" t="n"/>
      <c r="I90" s="17" t="n"/>
    </row>
    <row r="91">
      <c r="A91" s="17" t="n"/>
      <c r="B91" s="17" t="n"/>
      <c r="C91" s="17" t="n"/>
      <c r="D91" s="17" t="n"/>
      <c r="E91" s="17" t="n"/>
      <c r="F91" s="17" t="n"/>
      <c r="G91" s="17" t="n"/>
      <c r="H91" s="17" t="n"/>
      <c r="I91" s="17" t="n"/>
    </row>
    <row r="92">
      <c r="A92" s="17" t="n"/>
      <c r="B92" s="17" t="n"/>
      <c r="C92" s="17" t="n"/>
      <c r="D92" s="17" t="n"/>
      <c r="E92" s="17" t="n"/>
      <c r="F92" s="17" t="n"/>
      <c r="G92" s="17" t="n"/>
      <c r="H92" s="17" t="n"/>
      <c r="I92" s="17" t="n"/>
    </row>
    <row r="93">
      <c r="A93" s="17" t="n"/>
      <c r="B93" s="17" t="n"/>
      <c r="C93" s="17" t="n"/>
      <c r="D93" s="17" t="n"/>
      <c r="E93" s="17" t="n"/>
      <c r="F93" s="17" t="n"/>
      <c r="G93" s="17" t="n"/>
      <c r="H93" s="17" t="n"/>
      <c r="I93" s="17" t="n"/>
    </row>
    <row r="94">
      <c r="A94" s="17" t="n"/>
      <c r="B94" s="17" t="n"/>
      <c r="C94" s="17" t="n"/>
      <c r="D94" s="17" t="n"/>
      <c r="E94" s="17" t="n"/>
      <c r="F94" s="17" t="n"/>
      <c r="G94" s="17" t="n"/>
      <c r="H94" s="17" t="n"/>
      <c r="I94" s="17" t="n"/>
    </row>
    <row r="95">
      <c r="A95" s="17" t="n"/>
      <c r="B95" s="17" t="n"/>
      <c r="C95" s="17" t="n"/>
      <c r="D95" s="17" t="n"/>
      <c r="E95" s="17" t="n"/>
      <c r="F95" s="17" t="n"/>
      <c r="G95" s="17" t="n"/>
      <c r="H95" s="17" t="n"/>
      <c r="I95" s="17" t="n"/>
    </row>
    <row r="96">
      <c r="A96" s="17" t="n"/>
      <c r="B96" s="17" t="n"/>
      <c r="C96" s="17" t="n"/>
      <c r="D96" s="17" t="n"/>
      <c r="E96" s="17" t="n"/>
      <c r="F96" s="17" t="n"/>
      <c r="G96" s="17" t="n"/>
      <c r="H96" s="17" t="n"/>
      <c r="I96" s="17" t="n"/>
    </row>
    <row r="97">
      <c r="A97" s="17" t="n"/>
      <c r="B97" s="17" t="n"/>
      <c r="C97" s="17" t="n"/>
      <c r="D97" s="17" t="n"/>
      <c r="E97" s="17" t="n"/>
      <c r="F97" s="17" t="n"/>
      <c r="G97" s="17" t="n"/>
      <c r="H97" s="17" t="n"/>
      <c r="I97" s="17" t="n"/>
    </row>
    <row r="98">
      <c r="A98" s="17" t="n"/>
      <c r="B98" s="17" t="n"/>
      <c r="C98" s="17" t="n"/>
      <c r="D98" s="17" t="n"/>
      <c r="E98" s="17" t="n"/>
      <c r="F98" s="17" t="n"/>
      <c r="G98" s="17" t="n"/>
      <c r="H98" s="17" t="n"/>
      <c r="I98" s="17" t="n"/>
    </row>
    <row r="99">
      <c r="A99" s="17" t="n"/>
      <c r="B99" s="17" t="n"/>
      <c r="C99" s="17" t="n"/>
      <c r="D99" s="17" t="n"/>
      <c r="E99" s="17" t="n"/>
      <c r="F99" s="17" t="n"/>
      <c r="G99" s="17" t="n"/>
      <c r="H99" s="17" t="n"/>
      <c r="I99" s="17" t="n"/>
    </row>
    <row r="100">
      <c r="A100" s="17" t="n"/>
      <c r="B100" s="17" t="n"/>
      <c r="C100" s="17" t="n"/>
      <c r="D100" s="17" t="n"/>
      <c r="E100" s="17" t="n"/>
      <c r="F100" s="17" t="n"/>
      <c r="G100" s="17" t="n"/>
      <c r="H100" s="17" t="n"/>
      <c r="I100" s="17" t="n"/>
    </row>
  </sheetData>
  <dataValidations count="2">
    <dataValidation sqref="D2:D100" showDropDown="0" showInputMessage="0" showErrorMessage="0" allowBlank="1" type="list">
      <formula1>"Pazartesi,Salı,Çarşamba,Perşembe,Cuma,Cumartesi,Pazar"</formula1>
    </dataValidation>
    <dataValidation sqref="F2:F100" showDropDown="0" showInputMessage="0" showErrorMessage="0" allowBlank="1" type="list">
      <formula1>=Sahalar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Tanrikulu Apps — tanrikuluapps.com</dc:creator>
  <dc:title xmlns:dc="http://purl.org/dc/elements/1.1/">Halı Saha Takip ve Rezervasyon Çizelgesi</dc:title>
  <dcterms:created xmlns:dcterms="http://purl.org/dc/terms/" xmlns:xsi="http://www.w3.org/2001/XMLSchema-instance" xsi:type="dcterms:W3CDTF">2026-10-31T10:48:01Z</dcterms:created>
  <dcterms:modified xmlns:dcterms="http://purl.org/dc/terms/" xmlns:xsi="http://www.w3.org/2001/XMLSchema-instance" xsi:type="dcterms:W3CDTF">2026-10-31T10:48:01Z</dcterms:modified>
</cp:coreProperties>
</file>